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e0006d873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и" sheetId="1" r:id="R02a6139e102d45d0"/>
    <x:sheet xmlns:r="http://schemas.openxmlformats.org/officeDocument/2006/relationships" name="Параметры" sheetId="2" r:id="R2fa188f522cf413a"/>
    <x:sheet xmlns:r="http://schemas.openxmlformats.org/officeDocument/2006/relationships" name="Расчёт" sheetId="3" r:id="R6d5383777ad34856"/>
    <x:sheet xmlns:r="http://schemas.openxmlformats.org/officeDocument/2006/relationships" name="Чувствительность" sheetId="4" r:id="R431c1f53ec1c4388"/>
    <x:sheet xmlns:r="http://schemas.openxmlformats.org/officeDocument/2006/relationships" name="Метод и вопросы" sheetId="5" r:id="R1b29b3783c4b47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–"/>
    <x:numFmt numFmtId="201" formatCode="#,##0.0;(#,##0.0);–"/>
    <x:numFmt numFmtId="202" formatCode="0.0%;(0.0%);–"/>
    <x:numFmt numFmtId="203" formatCode="0.000"/>
    <x:numFmt numFmtId="204" formatCode="0.0;[Red](0.0);–"/>
  </x:numFmts>
  <x:fonts count="8">
    <x:font>
      <x:sz val="11"/>
      <x:name val="Carlito"/>
    </x:font>
    <x:font>
      <x:sz val="10"/>
      <x:color rgb="FF1E2A32"/>
      <x:name val="Arial"/>
    </x:font>
    <x:font>
      <x:sz val="10"/>
      <x:color rgb="FF165CA0"/>
      <x:name val="Arial"/>
    </x:font>
    <x:font>
      <x:b/>
      <x:sz val="10"/>
      <x:color rgb="FF17324D"/>
      <x:name val="Arial"/>
    </x:font>
    <x:font>
      <x:b/>
      <x:sz val="11"/>
      <x:color rgb="FF17324D"/>
      <x:name val="Arial"/>
    </x:font>
    <x:font>
      <x:b/>
      <x:sz val="14"/>
      <x:color rgb="FF17324D"/>
      <x:name val="Arial"/>
    </x:font>
    <x:font>
      <x:i/>
      <x:sz val="10"/>
      <x:color rgb="FF5F718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EAF2F7"/>
      </x:patternFill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113ccb7af4234" /><Relationship Type="http://schemas.openxmlformats.org/officeDocument/2006/relationships/theme" Target="/xl/theme/theme1.xml" Id="Rabdc5ef004494bd0" /><Relationship Type="http://schemas.openxmlformats.org/officeDocument/2006/relationships/sharedStrings" Target="/xl/sharedStrings.xml" Id="Raa3aa873c2834743" /><Relationship Type="http://schemas.openxmlformats.org/officeDocument/2006/relationships/worksheet" Target="/xl/worksheets/sheet1.xml" Id="R02a6139e102d45d0" /><Relationship Type="http://schemas.openxmlformats.org/officeDocument/2006/relationships/worksheet" Target="/xl/worksheets/sheet2.xml" Id="R2fa188f522cf413a" /><Relationship Type="http://schemas.openxmlformats.org/officeDocument/2006/relationships/worksheet" Target="/xl/worksheets/sheet3.xml" Id="R6d5383777ad34856" /><Relationship Type="http://schemas.openxmlformats.org/officeDocument/2006/relationships/worksheet" Target="/xl/worksheets/sheet4.xml" Id="R431c1f53ec1c4388" /><Relationship Type="http://schemas.openxmlformats.org/officeDocument/2006/relationships/worksheet" Target="/xl/worksheets/sheet5.xml" Id="R1b29b3783c4b47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72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1" t="str">
        <x:v>Сезонный склад: четыре состояния за 5 лет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2" t="str">
        <x:v>Сценарные расчёты в реальных рублях 2026 года; без роста ставок. Пик 8–12 недель.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9" customHeight="1">
      <x:c r="A5" s="24" t="str">
        <x:v>Показатель</x:v>
      </x:c>
      <x:c r="B5" s="29" t="str">
        <x:v>Ручной</x:v>
      </x:c>
      <x:c r="C5" s="29" t="str">
        <x:v>Процесс</x:v>
      </x:c>
      <x:c r="D5" s="29" t="str">
        <x:v>Временные</x:v>
      </x:c>
      <x:c r="E5" s="29" t="str">
        <x:v>Участок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 t="str">
        <x:v>CAPEX в год 0, млн ₽</x:v>
      </x:c>
      <x:c r="B6" s="6" t="n">
        <x:f>'Расчёт'!$C$28/1000000</x:f>
        <x:v>0</x:v>
      </x:c>
      <x:c r="C6" s="6" t="n">
        <x:f>'Расчёт'!$D$28/1000000</x:f>
        <x:v>0.3</x:v>
      </x:c>
      <x:c r="D6" s="6" t="n">
        <x:f>'Расчёт'!$E$28/1000000</x:f>
        <x:v>0.3</x:v>
      </x:c>
      <x:c r="E6" s="6" t="n">
        <x:f>'Расчёт'!$F$28/1000000</x:f>
        <x:v>6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2" t="str">
        <x:v>Людей временно в пиковую неделю</x:v>
      </x:c>
      <x:c r="B7" s="3" t="n">
        <x:f>'Расчёт'!$C$17</x:f>
        <x:v>0</x:v>
      </x:c>
      <x:c r="C7" s="3" t="n">
        <x:f>'Расчёт'!$D$17</x:f>
        <x:v>0</x:v>
      </x:c>
      <x:c r="D7" s="3" t="n">
        <x:f>'Расчёт'!$E$17</x:f>
        <x:v>2</x:v>
      </x:c>
      <x:c r="E7" s="3" t="n">
        <x:f>'Расчёт'!C107</x:f>
        <x:v>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 t="str">
        <x:v>Поздних строк за пиковую неделю</x:v>
      </x:c>
      <x:c r="B8" s="3" t="n">
        <x:f>'Расчёт'!$C$19</x:f>
        <x:v>1150</x:v>
      </x:c>
      <x:c r="C8" s="3" t="n">
        <x:f>'Расчёт'!$D$19</x:f>
        <x:v>600</x:v>
      </x:c>
      <x:c r="D8" s="3" t="n">
        <x:f>'Расчёт'!$E$19</x:f>
        <x:v>0</x:v>
      </x:c>
      <x:c r="E8" s="3" t="n">
        <x:f>'Расчёт'!C103</x:f>
        <x:v>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>
      <x:c r="A9" s="2" t="str">
        <x:v>Поздних строк за первый год</x:v>
      </x:c>
      <x:c r="B9" s="3" t="n">
        <x:f>'Расчёт'!C56</x:f>
        <x:v>11500</x:v>
      </x:c>
      <x:c r="C9" s="3" t="n">
        <x:f>'Расчёт'!C76</x:f>
        <x:v>6000</x:v>
      </x:c>
      <x:c r="D9" s="3" t="n">
        <x:f>'Расчёт'!C96</x:f>
        <x:v>0</x:v>
      </x:c>
      <x:c r="E9" s="3" t="n">
        <x:f>'Расчёт'!C116</x:f>
        <x:v>0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>
      <x:c r="A10" s="2" t="str">
        <x:v>Денежный расход первого года, млн ₽</x:v>
      </x:c>
      <x:c r="B10" s="6" t="n">
        <x:f>'Расчёт'!C58/1000000</x:f>
        <x:v>18.051736</x:v>
      </x:c>
      <x:c r="C10" s="6" t="n">
        <x:f>'Расчёт'!C78/1000000</x:f>
        <x:v>15.473832</x:v>
      </x:c>
      <x:c r="D10" s="6" t="n">
        <x:f>'Расчёт'!C98/1000000</x:f>
        <x:v>13.638232</x:v>
      </x:c>
      <x:c r="E10" s="6" t="n">
        <x:f>'Расчёт'!C118/1000000</x:f>
        <x:v>13.873742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>
      <x:c r="A11" s="2" t="str">
        <x:v>TCO 5 лет, млн ₽ без дисконта</x:v>
      </x:c>
      <x:c r="B11" s="6" t="n">
        <x:f>('Расчёт'!$C$28+SUM('Расчёт'!C58:G58))/1000000</x:f>
        <x:v>90.25868</x:v>
      </x:c>
      <x:c r="C11" s="6" t="n">
        <x:f>('Расчёт'!$D$28+SUM('Расчёт'!C78:G78))/1000000</x:f>
        <x:v>77.66916</x:v>
      </x:c>
      <x:c r="D11" s="6" t="n">
        <x:f>('Расчёт'!$E$28+SUM('Расчёт'!C98:G98))/1000000</x:f>
        <x:v>68.49116</x:v>
      </x:c>
      <x:c r="E11" s="6" t="n">
        <x:f>('Расчёт'!$F$28+SUM('Расчёт'!C118:G118))/1000000</x:f>
        <x:v>75.36871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>
      <x:c r="A12" s="2" t="str">
        <x:v>Приведённые расходы 5 лет, млн ₽</x:v>
      </x:c>
      <x:c r="B12" s="19" t="n">
        <x:f>('Расчёт'!$C$28+SUM('Расчёт'!C59:G59))/1000000</x:f>
        <x:v>61.97307131645712</x:v>
      </x:c>
      <x:c r="C12" s="19" t="n">
        <x:f>('Расчёт'!$D$28+SUM('Расчёт'!C79:G79))/1000000</x:f>
        <x:v>53.422918154513034</x:v>
      </x:c>
      <x:c r="D12" s="19" t="n">
        <x:f>('Расчёт'!$E$28+SUM('Расчёт'!C99:G99))/1000000</x:f>
        <x:v>47.12115472807644</x:v>
      </x:c>
      <x:c r="E12" s="19" t="n">
        <x:f>('Расчёт'!$F$28+SUM('Расчёт'!C119:G119))/1000000</x:f>
        <x:v>53.629679627052305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>
      <x:c r="A13" s="2" t="str">
        <x:v>Экономия к ручному процессу, млн ₽ приведённых расходов</x:v>
      </x:c>
      <x:c r="B13" s="6" t="n">
        <x:f>$B$12-B12</x:f>
        <x:v>0</x:v>
      </x:c>
      <x:c r="C13" s="6" t="n">
        <x:f>$B$12-C12</x:f>
        <x:v>8.550153161944088</x:v>
      </x:c>
      <x:c r="D13" s="6" t="n">
        <x:f>$B$12-D12</x:f>
        <x:v>14.851916588380682</x:v>
      </x:c>
      <x:c r="E13" s="6" t="n">
        <x:f>$B$12-E12</x:f>
        <x:v>8.343391689404818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>
      <x:c r="A14" s="2" t="str">
        <x:v>Экономия к улучшенному процессу, млн ₽ приведённых расходов</x:v>
      </x:c>
      <x:c r="B14" s="6" t="n">
        <x:f>$C$12-B12</x:f>
        <x:v>-8.550153161944088</x:v>
      </x:c>
      <x:c r="C14" s="6" t="n">
        <x:f>$C$12-C12</x:f>
        <x:v>0</x:v>
      </x:c>
      <x:c r="D14" s="6" t="n">
        <x:f>$C$12-D12</x:f>
        <x:v>6.301763426436594</x:v>
      </x:c>
      <x:c r="E14" s="6" t="n">
        <x:f>$C$12-E12</x:f>
        <x:v>-0.20676147253927013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>
      <x:c r="A16" s="13" t="str">
        <x:v>Сравнение участка с альтернативами</x:v>
      </x:c>
      <x:c r="B16" s="13"/>
      <x:c r="C16" s="13"/>
      <x:c r="D16" s="13"/>
      <x:c r="E16" s="13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>
      <x:c r="A17" s="2" t="str">
        <x:v>Дополнительный CAPEX к улучшенному процессу, млн ₽</x:v>
      </x:c>
      <x:c r="B17" s="2"/>
      <x:c r="C17" s="2"/>
      <x:c r="D17" s="2"/>
      <x:c r="E17" s="6" t="n">
        <x:f>('Расчёт'!$F$28-'Расчёт'!$D$28)/1000000</x:f>
        <x:v>5.7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>
      <x:c r="A18" s="2" t="str">
        <x:v>Экономия первого года к улучшенному процессу, млн ₽</x:v>
      </x:c>
      <x:c r="B18" s="2"/>
      <x:c r="C18" s="2"/>
      <x:c r="D18" s="2"/>
      <x:c r="E18" s="6" t="n">
        <x:f>'Расчёт'!C128/1000000</x:f>
        <x:v>1.60009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>
      <x:c r="A19" s="2" t="str">
        <x:v>Простая окупаемость к улучшенному процессу, лет</x:v>
      </x:c>
      <x:c r="B19" s="2"/>
      <x:c r="C19" s="2"/>
      <x:c r="D19" s="2"/>
      <x:c r="E19" s="6" t="n">
        <x:f>IF(COUNT('Расчёт'!C132:G132)=0,"нет за 5 лет",MIN('Расчёт'!C132:G132))</x:f>
        <x:v>3.5622996206463386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>
      <x:c r="A20" s="2" t="str">
        <x:v>Окупаемость с дисконтом к процессу, лет</x:v>
      </x:c>
      <x:c r="B20" s="2"/>
      <x:c r="C20" s="2"/>
      <x:c r="D20" s="2"/>
      <x:c r="E20" s="6" t="str">
        <x:f>IF(COUNT('Расчёт'!C133:G133)=0,"нет за 5 лет",MIN('Расчёт'!C133:G133))</x:f>
        <x:v>нет за 5 лет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>
      <x:c r="A21" s="2" t="str">
        <x:v>Приведённая экономия к временным сменам, млн ₽</x:v>
      </x:c>
      <x:c r="B21" s="2"/>
      <x:c r="C21" s="2"/>
      <x:c r="D21" s="2"/>
      <x:c r="E21" s="6" t="n">
        <x:f>D12-E12</x:f>
        <x:v>-6.508524898975864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>
      <x:c r="A22" s="2" t="str">
        <x:v>Первый порог окупаемости против процесса, строк/нед.</x:v>
      </x:c>
      <x:c r="B22" s="2"/>
      <x:c r="C22" s="2"/>
      <x:c r="D22" s="2"/>
      <x:c r="E22" s="3" t="n">
        <x:f>'Чувствительность'!B11</x:f>
        <x:v>3914.968538741934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>
      <x:c r="A23" s="2" t="str">
        <x:v>Порог окупаемости против временных смен, строк/нед.</x:v>
      </x:c>
      <x:c r="B23" s="2"/>
      <x:c r="C23" s="2"/>
      <x:c r="D23" s="2"/>
      <x:c r="E23" s="3" t="str">
        <x:f>'Чувствительность'!B12</x:f>
        <x:v>нет в сетке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>
      <x:c r="A25" s="13" t="str">
        <x:v>Мощность, нехватка смен и подготовка</x:v>
      </x:c>
      <x:c r="B25" s="13"/>
      <x:c r="C25" s="13"/>
      <x:c r="D25" s="13"/>
      <x:c r="E25" s="13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>
      <x:c r="A26" s="2" t="str">
        <x:v>Нестандартные строки; на участок не направляются</x:v>
      </x:c>
      <x:c r="B26" s="2"/>
      <x:c r="C26" s="2"/>
      <x:c r="D26" s="2"/>
      <x:c r="E26" s="9" t="n">
        <x:f>'Параметры'!$B$14</x:f>
        <x:v>0.2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>
      <x:c r="A27" s="2" t="str">
        <x:v>План временных смен за пиковую неделю</x:v>
      </x:c>
      <x:c r="B27" s="2"/>
      <x:c r="C27" s="2"/>
      <x:c r="D27" s="2"/>
      <x:c r="E27" s="2" t="n">
        <x:f>'Расчёт'!$E$24</x:f>
        <x:v>10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>
      <x:c r="A28" s="2" t="str">
        <x:v>Ожидаемо незакрытых временных смен в неделю</x:v>
      </x:c>
      <x:c r="B28" s="2"/>
      <x:c r="C28" s="2"/>
      <x:c r="D28" s="2"/>
      <x:c r="E28" s="6" t="n">
        <x:f>'Расчёт'!$E$25</x:f>
        <x:v>0.9999999999999998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>
      <x:c r="A29" s="2" t="str">
        <x:v>Поздних строк при стрессовом числе незакрытых смен</x:v>
      </x:c>
      <x:c r="B29" s="2"/>
      <x:c r="C29" s="2"/>
      <x:c r="D29" s="2"/>
      <x:c r="E29" s="2" t="n">
        <x:f>MAX(0,'Расчёт'!$E$5-'Расчёт'!$E$8-MAX(0,'Расчёт'!$E$24-'Параметры'!$B$62)*'Расчёт'!$E$7*'Параметры'!$B$21)</x:f>
        <x:v>72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>
      <x:c r="A30" s="2" t="str">
        <x:v>Цена просрочки за стресс-неделю, тыс. ₽</x:v>
      </x:c>
      <x:c r="B30" s="2"/>
      <x:c r="C30" s="2"/>
      <x:c r="D30" s="2"/>
      <x:c r="E30" s="2" t="n">
        <x:f>E29*'Параметры'!$B$53/1000</x:f>
        <x:v>28.8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>
      <x:c r="A31" s="2" t="str">
        <x:v>Поздних строк при полном отказе участка на пике</x:v>
      </x:c>
      <x:c r="B31" s="2"/>
      <x:c r="C31" s="2"/>
      <x:c r="D31" s="2"/>
      <x:c r="E31" s="2" t="n">
        <x:f>('Расчёт'!$D$19-'Расчёт'!$F$19)*'Параметры'!$B$63</x:f>
        <x:v>600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>
      <x:c r="A32" s="2" t="str">
        <x:v>Цена этого отказа, тыс. ₽</x:v>
      </x:c>
      <x:c r="B32" s="2"/>
      <x:c r="C32" s="2"/>
      <x:c r="D32" s="2"/>
      <x:c r="E32" s="2" t="n">
        <x:f>E31*'Параметры'!$B$53/1000</x:f>
        <x:v>240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>
      <x:c r="A33" s="2" t="str">
        <x:v>Обучение временных за сезон, чел.-дни</x:v>
      </x:c>
      <x:c r="B33" s="2"/>
      <x:c r="C33" s="2"/>
      <x:c r="D33" s="2"/>
      <x:c r="E33" s="2" t="n">
        <x:f>'Расчёт'!$E$17*'Параметры'!$B$34</x:f>
        <x:v>4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>
      <x:c r="A34" s="2" t="str">
        <x:v>Первичное обучение операторов, чел.-дни</x:v>
      </x:c>
      <x:c r="B34" s="2"/>
      <x:c r="C34" s="2"/>
      <x:c r="D34" s="2"/>
      <x:c r="E34" s="2" t="n">
        <x:f>'Параметры'!$B$58*'Параметры'!$B$59</x:f>
        <x:v>6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>
      <x:c r="A35" s="2" t="str">
        <x:v>Нужная площадь участка; доп. арендуемая, м²</x:v>
      </x:c>
      <x:c r="B35" s="2"/>
      <x:c r="C35" s="2"/>
      <x:c r="D35" s="2" t="n">
        <x:f>'Расчёт'!$F$31</x:f>
        <x:v>45</x:v>
      </x:c>
      <x:c r="E35" s="2" t="n">
        <x:f>'Параметры'!$B$56</x:f>
        <x:v>45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>
      <x:c r="A36" s="2" t="str">
        <x:v>Готовность WMS до первого пика</x:v>
      </x:c>
      <x:c r="B36" s="2"/>
      <x:c r="C36" s="2"/>
      <x:c r="D36" s="2"/>
      <x:c r="E36" s="2" t="str">
        <x:f>IF('Расчёт'!$F$35=1,"готово","пик 1 пропущен")</x:f>
        <x:v>готово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>
      <x:c r="A37" s="2" t="str">
        <x:v>Срок сервиса и ПО, лет</x:v>
      </x:c>
      <x:c r="B37" s="2"/>
      <x:c r="C37" s="2"/>
      <x:c r="D37" s="2"/>
      <x:c r="E37" s="2" t="n">
        <x:f>'Параметры'!$B$46</x:f>
        <x:v>5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>
      <x:c r="A39" s="2" t="str">
        <x:v>Проверить прежде всего: WMS по неделям, фактическую цену просрочки и закрытие временных смен.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>
      <x:c r="A40" s="2" t="str">
        <x:v>Экономия постоянного ФОТ не заложена. Незагруженный вне сезона участок даёт лишь эффект по ошибкам на фактически обработанных строках.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B7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9" hidden="0" customWidth="1"/>
    <x:col min="2" max="2" width="15" hidden="0" customWidth="1"/>
    <x:col min="3" max="3" width="15" hidden="0" customWidth="1"/>
    <x:col min="4" max="4" width="15" hidden="0" customWidth="1"/>
    <x:col min="5" max="5" width="19" hidden="0" customWidth="1"/>
    <x:col min="6" max="6" width="15" hidden="0" customWidth="1"/>
    <x:col min="7" max="7" width="5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1" t="str">
        <x:v>Допущения склада: ₽ 2026 года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2" t="str">
        <x:v>Все значения условные. Нижняя и верхняя границы показывают диапазон для сбора данных, а не рыночную оценку.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9" customHeight="1">
      <x:c r="A5" s="24" t="str">
        <x:v>Показатель</x:v>
      </x:c>
      <x:c r="B5" s="29" t="str">
        <x:v>База</x:v>
      </x:c>
      <x:c r="C5" s="29" t="str">
        <x:v>Нижняя</x:v>
      </x:c>
      <x:c r="D5" s="29" t="str">
        <x:v>Верхняя</x:v>
      </x:c>
      <x:c r="E5" s="29" t="str">
        <x:v>Единица</x:v>
      </x:c>
      <x:c r="F5" s="29" t="str">
        <x:v>Статус</x:v>
      </x:c>
      <x:c r="G5" s="24" t="str">
        <x:v>Чем заменить допущение</x:v>
      </x:c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13" t="str">
        <x:v>Объём и номенклатура</x:v>
      </x:c>
      <x:c r="B7" s="13"/>
      <x:c r="C7" s="13"/>
      <x:c r="D7" s="13"/>
      <x:c r="E7" s="13"/>
      <x:c r="F7" s="13"/>
      <x:c r="G7" s="13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 t="str">
        <x:v>Длительность пика</x:v>
      </x:c>
      <x:c r="B8" s="5" t="n">
        <x:v>10</x:v>
      </x:c>
      <x:c r="C8" s="3" t="n">
        <x:v>8</x:v>
      </x:c>
      <x:c r="D8" s="3" t="n">
        <x:v>12</x:v>
      </x:c>
      <x:c r="E8" s="2" t="str">
        <x:v>недель</x:v>
      </x:c>
      <x:c r="F8" s="2" t="str">
        <x:v>Допущение</x:v>
      </x:c>
      <x:c r="G8" s="2" t="str">
        <x:v>Фактические пики по WMS и календарю отгрузок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>
      <x:c r="A9" s="2" t="str">
        <x:v>Недели в модельном году</x:v>
      </x:c>
      <x:c r="B9" s="5" t="n">
        <x:v>52</x:v>
      </x:c>
      <x:c r="C9" s="3" t="n">
        <x:v>52</x:v>
      </x:c>
      <x:c r="D9" s="3" t="n">
        <x:v>52</x:v>
      </x:c>
      <x:c r="E9" s="2" t="str">
        <x:v>недель</x:v>
      </x:c>
      <x:c r="F9" s="2" t="str">
        <x:v>Допущение</x:v>
      </x:c>
      <x:c r="G9" s="2" t="str">
        <x:v>Условный год; сезонные недели = 52 − пик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>
      <x:c r="A10" s="2" t="str">
        <x:v>Заказы за пиковую неделю</x:v>
      </x:c>
      <x:c r="B10" s="5" t="n">
        <x:v>1500</x:v>
      </x:c>
      <x:c r="C10" s="3" t="n">
        <x:v>800</x:v>
      </x:c>
      <x:c r="D10" s="3" t="n">
        <x:v>2300</x:v>
      </x:c>
      <x:c r="E10" s="2" t="str">
        <x:v>заказов</x:v>
      </x:c>
      <x:c r="F10" s="2" t="str">
        <x:v>Допущение</x:v>
      </x:c>
      <x:c r="G10" s="2" t="str">
        <x:v>WMS: медиана и верхний квантиль недель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>
      <x:c r="A11" s="2" t="str">
        <x:v>Заказы за обычную неделю</x:v>
      </x:c>
      <x:c r="B11" s="5" t="n">
        <x:v>650</x:v>
      </x:c>
      <x:c r="C11" s="3" t="n">
        <x:v>350</x:v>
      </x:c>
      <x:c r="D11" s="3" t="n">
        <x:v>1100</x:v>
      </x:c>
      <x:c r="E11" s="2" t="str">
        <x:v>заказов</x:v>
      </x:c>
      <x:c r="F11" s="2" t="str">
        <x:v>Допущение</x:v>
      </x:c>
      <x:c r="G11" s="2" t="str">
        <x:v>WMS: недели вне сезонного пика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>
      <x:c r="A12" s="2" t="str">
        <x:v>Среднее число строк в заказе</x:v>
      </x:c>
      <x:c r="B12" s="8" t="n">
        <x:v>2.6</x:v>
      </x:c>
      <x:c r="C12" s="6" t="n">
        <x:v>1.8</x:v>
      </x:c>
      <x:c r="D12" s="6" t="n">
        <x:v>3.5</x:v>
      </x:c>
      <x:c r="E12" s="2" t="str">
        <x:v>строк/заказ</x:v>
      </x:c>
      <x:c r="F12" s="2" t="str">
        <x:v>Допущение</x:v>
      </x:c>
      <x:c r="G12" s="2" t="str">
        <x:v>Разрез по категориям и габаритам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>
      <x:c r="A13" s="2" t="str">
        <x:v>Активные SKU</x:v>
      </x:c>
      <x:c r="B13" s="5" t="n">
        <x:v>3200</x:v>
      </x:c>
      <x:c r="C13" s="3" t="n">
        <x:v>1000</x:v>
      </x:c>
      <x:c r="D13" s="3" t="n">
        <x:v>8000</x:v>
      </x:c>
      <x:c r="E13" s="2" t="str">
        <x:v>SKU</x:v>
      </x:c>
      <x:c r="F13" s="2" t="str">
        <x:v>Допущение</x:v>
      </x:c>
      <x:c r="G13" s="2" t="str">
        <x:v>Срез SKU, реально заказанных за 12 мес.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>
      <x:c r="A14" s="2" t="str">
        <x:v>Нестандартные строки</x:v>
      </x:c>
      <x:c r="B14" s="11" t="n">
        <x:v>0.2</x:v>
      </x:c>
      <x:c r="C14" s="9" t="n">
        <x:v>0.1</x:v>
      </x:c>
      <x:c r="D14" s="9" t="n">
        <x:v>0.35</x:v>
      </x:c>
      <x:c r="E14" s="2" t="str">
        <x:v>доля</x:v>
      </x:c>
      <x:c r="F14" s="2" t="str">
        <x:v>Допущение</x:v>
      </x:c>
      <x:c r="G14" s="2" t="str">
        <x:v>Вес, габарит, особые условия, серийность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>
      <x:c r="A15" s="2" t="str">
        <x:v>Повторяемый участок среди стандартных строк</x:v>
      </x:c>
      <x:c r="B15" s="11" t="n">
        <x:v>0.7</x:v>
      </x:c>
      <x:c r="C15" s="9" t="n">
        <x:v>0.4</x:v>
      </x:c>
      <x:c r="D15" s="9" t="n">
        <x:v>0.85</x:v>
      </x:c>
      <x:c r="E15" s="2" t="str">
        <x:v>доля</x:v>
      </x:c>
      <x:c r="F15" s="2" t="str">
        <x:v>Допущение</x:v>
      </x:c>
      <x:c r="G15" s="2" t="str">
        <x:v>Замер подходящих линий и упаковки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>
      <x:c r="A16" s="13" t="str">
        <x:v>Мощность и готовность участка</x:v>
      </x:c>
      <x:c r="B16" s="13"/>
      <x:c r="C16" s="13"/>
      <x:c r="D16" s="13"/>
      <x:c r="E16" s="13"/>
      <x:c r="F16" s="13"/>
      <x:c r="G16" s="13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>
      <x:c r="A17" s="2" t="str">
        <x:v>Смены на человека в неделю</x:v>
      </x:c>
      <x:c r="B17" s="5" t="n">
        <x:v>5</x:v>
      </x:c>
      <x:c r="C17" s="3" t="n">
        <x:v>4</x:v>
      </x:c>
      <x:c r="D17" s="3" t="n">
        <x:v>6</x:v>
      </x:c>
      <x:c r="E17" s="2" t="str">
        <x:v>смен</x:v>
      </x:c>
      <x:c r="F17" s="2" t="str">
        <x:v>Допущение</x:v>
      </x:c>
      <x:c r="G17" s="2" t="str">
        <x:v>Табели и ограничения графиков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>
      <x:c r="A18" s="2" t="str">
        <x:v>Постоянные работники сборки</x:v>
      </x:c>
      <x:c r="B18" s="5" t="n">
        <x:v>5</x:v>
      </x:c>
      <x:c r="C18" s="3" t="n">
        <x:v>4</x:v>
      </x:c>
      <x:c r="D18" s="3" t="n">
        <x:v>8</x:v>
      </x:c>
      <x:c r="E18" s="2" t="str">
        <x:v>чел.</x:v>
      </x:c>
      <x:c r="F18" s="2" t="str">
        <x:v>Допущение</x:v>
      </x:c>
      <x:c r="G18" s="2" t="str">
        <x:v>Фактические ставки и укомплектованность</x:v>
      </x:c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>
      <x:c r="A19" s="2" t="str">
        <x:v>Ручная выработка за смену</x:v>
      </x:c>
      <x:c r="B19" s="5" t="n">
        <x:v>110</x:v>
      </x:c>
      <x:c r="C19" s="3" t="n">
        <x:v>75</x:v>
      </x:c>
      <x:c r="D19" s="3" t="n">
        <x:v>150</x:v>
      </x:c>
      <x:c r="E19" s="2" t="str">
        <x:v>строк/чел.-смену</x:v>
      </x:c>
      <x:c r="F19" s="2" t="str">
        <x:v>Допущение</x:v>
      </x:c>
      <x:c r="G19" s="2" t="str">
        <x:v>Замер WMS по одинаковым строкам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>
      <x:c r="A20" s="2" t="str">
        <x:v>Прирост выработки после улучшения процесса</x:v>
      </x:c>
      <x:c r="B20" s="11" t="n">
        <x:v>0.2</x:v>
      </x:c>
      <x:c r="C20" s="9" t="n">
        <x:v>0.08</x:v>
      </x:c>
      <x:c r="D20" s="9" t="n">
        <x:v>0.25</x:v>
      </x:c>
      <x:c r="E20" s="2" t="str">
        <x:v>доля</x:v>
      </x:c>
      <x:c r="F20" s="2" t="str">
        <x:v>Допущение</x:v>
      </x:c>
      <x:c r="G20" s="2" t="str">
        <x:v>Пилот маршрутизации, адресации, контроля</x:v>
      </x:c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>
      <x:c r="A21" s="2" t="str">
        <x:v>Выработка временного работника</x:v>
      </x:c>
      <x:c r="B21" s="11" t="n">
        <x:v>0.8</x:v>
      </x:c>
      <x:c r="C21" s="9" t="n">
        <x:v>0.55</x:v>
      </x:c>
      <x:c r="D21" s="9" t="n">
        <x:v>0.95</x:v>
      </x:c>
      <x:c r="E21" s="2" t="str">
        <x:v>от обученного</x:v>
      </x:c>
      <x:c r="F21" s="2" t="str">
        <x:v>Допущение</x:v>
      </x:c>
      <x:c r="G21" s="2" t="str">
        <x:v>Табели, дата допуска, строки по сменам</x:v>
      </x:c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>
      <x:c r="A22" s="2" t="str">
        <x:v>Доля закрытых временных смен</x:v>
      </x:c>
      <x:c r="B22" s="11" t="n">
        <x:v>0.9</x:v>
      </x:c>
      <x:c r="C22" s="9" t="n">
        <x:v>0.65</x:v>
      </x:c>
      <x:c r="D22" s="9" t="n">
        <x:v>0.98</x:v>
      </x:c>
      <x:c r="E22" s="2" t="str">
        <x:v>доля</x:v>
      </x:c>
      <x:c r="F22" s="2" t="str">
        <x:v>Допущение</x:v>
      </x:c>
      <x:c r="G22" s="2" t="str">
        <x:v>Заявки, отмены, невыходы по сменам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>
      <x:c r="A23" s="2" t="str">
        <x:v>Пропускная способность участка</x:v>
      </x:c>
      <x:c r="B23" s="5" t="n">
        <x:v>2500</x:v>
      </x:c>
      <x:c r="C23" s="3" t="n">
        <x:v>1200</x:v>
      </x:c>
      <x:c r="D23" s="3" t="n">
        <x:v>4000</x:v>
      </x:c>
      <x:c r="E23" s="2" t="str">
        <x:v>строк/нед.</x:v>
      </x:c>
      <x:c r="F23" s="2" t="str">
        <x:v>Допущение</x:v>
      </x:c>
      <x:c r="G23" s="2" t="str">
        <x:v>Приёмочные испытания под свою упаковку</x:v>
      </x:c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>
      <x:c r="A24" s="2" t="str">
        <x:v>Простой роботизированного участка</x:v>
      </x:c>
      <x:c r="B24" s="11" t="n">
        <x:v>0.06</x:v>
      </x:c>
      <x:c r="C24" s="9" t="n">
        <x:v>0.02</x:v>
      </x:c>
      <x:c r="D24" s="9" t="n">
        <x:v>0.15</x:v>
      </x:c>
      <x:c r="E24" s="2" t="str">
        <x:v>доля времени</x:v>
      </x:c>
      <x:c r="F24" s="2" t="str">
        <x:v>Допущение</x:v>
      </x:c>
      <x:c r="G24" s="2" t="str">
        <x:v>Журнал отказов, время восстановления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>
      <x:c r="A25" s="2" t="str">
        <x:v>Снятая ручная работа на обработанную строку</x:v>
      </x:c>
      <x:c r="B25" s="11" t="n">
        <x:v>0.65</x:v>
      </x:c>
      <x:c r="C25" s="9" t="n">
        <x:v>0.35</x:v>
      </x:c>
      <x:c r="D25" s="9" t="n">
        <x:v>0.8</x:v>
      </x:c>
      <x:c r="E25" s="2" t="str">
        <x:v>экв. строки</x:v>
      </x:c>
      <x:c r="F25" s="2" t="str">
        <x:v>Допущение</x:v>
      </x:c>
      <x:c r="G25" s="2" t="str">
        <x:v>Хронометраж до и после запуска</x:v>
      </x:c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>
      <x:c r="A26" s="2" t="str">
        <x:v>Реализуемая доля высвобожденной работы</x:v>
      </x:c>
      <x:c r="B26" s="11" t="n">
        <x:v>0.85</x:v>
      </x:c>
      <x:c r="C26" s="9" t="n">
        <x:v>0.5</x:v>
      </x:c>
      <x:c r="D26" s="9" t="n">
        <x:v>1</x:v>
      </x:c>
      <x:c r="E26" s="2" t="str">
        <x:v>доля</x:v>
      </x:c>
      <x:c r="F26" s="2" t="str">
        <x:v>Допущение</x:v>
      </x:c>
      <x:c r="G26" s="2" t="str">
        <x:v>Возможность перекинуть работников в другие зоны</x:v>
      </x:c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>
      <x:c r="A27" s="2" t="str">
        <x:v>Плановая загрузка участка вне сезона</x:v>
      </x:c>
      <x:c r="B27" s="11" t="n">
        <x:v>0.3</x:v>
      </x:c>
      <x:c r="C27" s="9" t="n">
        <x:v>0</x:v>
      </x:c>
      <x:c r="D27" s="9" t="n">
        <x:v>0.8</x:v>
      </x:c>
      <x:c r="E27" s="2" t="str">
        <x:v>доля от мощности</x:v>
      </x:c>
      <x:c r="F27" s="2" t="str">
        <x:v>Допущение</x:v>
      </x:c>
      <x:c r="G27" s="2" t="str">
        <x:v>Частота подходящих строк по неделям</x:v>
      </x:c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>
      <x:c r="A28" s="2" t="str">
        <x:v>Недели для запуска до первого пика</x:v>
      </x:c>
      <x:c r="B28" s="5" t="n">
        <x:v>16</x:v>
      </x:c>
      <x:c r="C28" s="3" t="n">
        <x:v>4</x:v>
      </x:c>
      <x:c r="D28" s="3" t="n">
        <x:v>24</x:v>
      </x:c>
      <x:c r="E28" s="2" t="str">
        <x:v>недель</x:v>
      </x:c>
      <x:c r="F28" s="2" t="str">
        <x:v>Допущение</x:v>
      </x:c>
      <x:c r="G28" s="2" t="str">
        <x:v>Реальный график запуска и тестов</x:v>
      </x:c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>
      <x:c r="A29" s="2" t="str">
        <x:v>Срок интеграции с WMS и допуска</x:v>
      </x:c>
      <x:c r="B29" s="5" t="n">
        <x:v>12</x:v>
      </x:c>
      <x:c r="C29" s="3" t="n">
        <x:v>6</x:v>
      </x:c>
      <x:c r="D29" s="3" t="n">
        <x:v>24</x:v>
      </x:c>
      <x:c r="E29" s="2" t="str">
        <x:v>недель</x:v>
      </x:c>
      <x:c r="F29" s="2" t="str">
        <x:v>Допущение</x:v>
      </x:c>
      <x:c r="G29" s="2" t="str">
        <x:v>Критический путь внедрения</x:v>
      </x:c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>
      <x:c r="A30" s="13" t="str">
        <x:v>Деньги, качество и площадь</x:v>
      </x:c>
      <x:c r="B30" s="13"/>
      <x:c r="C30" s="13"/>
      <x:c r="D30" s="13"/>
      <x:c r="E30" s="13"/>
      <x:c r="F30" s="13"/>
      <x:c r="G30" s="13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>
      <x:c r="A31" s="2" t="str">
        <x:v>Постоянный работник: полный расход в месяц</x:v>
      </x:c>
      <x:c r="B31" s="5" t="n">
        <x:v>120000</x:v>
      </x:c>
      <x:c r="C31" s="3" t="n">
        <x:v>85000</x:v>
      </x:c>
      <x:c r="D31" s="3" t="n">
        <x:v>160000</x:v>
      </x:c>
      <x:c r="E31" s="2" t="str">
        <x:v>₽/чел.-мес.</x:v>
      </x:c>
      <x:c r="F31" s="2" t="str">
        <x:v>Допущение</x:v>
      </x:c>
      <x:c r="G31" s="2" t="str">
        <x:v>ФОТ и начисления; одинаково во всех состояниях</x:v>
      </x:c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>
      <x:c r="A32" s="2" t="str">
        <x:v>Временный работник: оплаченная смена</x:v>
      </x:c>
      <x:c r="B32" s="5" t="n">
        <x:v>4800</x:v>
      </x:c>
      <x:c r="C32" s="3" t="n">
        <x:v>3200</x:v>
      </x:c>
      <x:c r="D32" s="3" t="n">
        <x:v>7500</x:v>
      </x:c>
      <x:c r="E32" s="2" t="str">
        <x:v>₽/смену</x:v>
      </x:c>
      <x:c r="F32" s="2" t="str">
        <x:v>Допущение</x:v>
      </x:c>
      <x:c r="G32" s="2" t="str">
        <x:v>Ставка с начислениями или полным тарифом агентства</x:v>
      </x:c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>
      <x:c r="A33" s="2" t="str">
        <x:v>Подбор на человека за сезон</x:v>
      </x:c>
      <x:c r="B33" s="5" t="n">
        <x:v>25000</x:v>
      </x:c>
      <x:c r="C33" s="3" t="n">
        <x:v>8000</x:v>
      </x:c>
      <x:c r="D33" s="3" t="n">
        <x:v>45000</x:v>
      </x:c>
      <x:c r="E33" s="2" t="str">
        <x:v>₽/чел.</x:v>
      </x:c>
      <x:c r="F33" s="2" t="str">
        <x:v>Допущение</x:v>
      </x:c>
      <x:c r="G33" s="2" t="str">
        <x:v>Договор, замены, срок гарантии</x:v>
      </x:c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>
      <x:c r="A34" s="2" t="str">
        <x:v>Оплачиваемое обучение временного работника</x:v>
      </x:c>
      <x:c r="B34" s="5" t="n">
        <x:v>2</x:v>
      </x:c>
      <x:c r="C34" s="3" t="n">
        <x:v>1</x:v>
      </x:c>
      <x:c r="D34" s="3" t="n">
        <x:v>4</x:v>
      </x:c>
      <x:c r="E34" s="2" t="str">
        <x:v>дней/чел.</x:v>
      </x:c>
      <x:c r="F34" s="2" t="str">
        <x:v>Допущение</x:v>
      </x:c>
      <x:c r="G34" s="2" t="str">
        <x:v>Отдельно от рабочих смен в таблице затрат</x:v>
      </x:c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>
      <x:c r="A35" s="2" t="str">
        <x:v>Наставник и допуск временного работника</x:v>
      </x:c>
      <x:c r="B35" s="5" t="n">
        <x:v>10000</x:v>
      </x:c>
      <x:c r="C35" s="3" t="n">
        <x:v>4000</x:v>
      </x:c>
      <x:c r="D35" s="3" t="n">
        <x:v>20000</x:v>
      </x:c>
      <x:c r="E35" s="2" t="str">
        <x:v>₽/чел.</x:v>
      </x:c>
      <x:c r="F35" s="2" t="str">
        <x:v>Допущение</x:v>
      </x:c>
      <x:c r="G35" s="2" t="str">
        <x:v>Внутреннее время и инструктаж</x:v>
      </x:c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>
      <x:c r="A36" s="2" t="str">
        <x:v>Перенастройка процесса до запуска</x:v>
      </x:c>
      <x:c r="B36" s="5" t="n">
        <x:v>300000</x:v>
      </x:c>
      <x:c r="C36" s="3" t="n">
        <x:v>100000</x:v>
      </x:c>
      <x:c r="D36" s="3" t="n">
        <x:v>600000</x:v>
      </x:c>
      <x:c r="E36" s="2" t="str">
        <x:v>₽ единовр.</x:v>
      </x:c>
      <x:c r="F36" s="2" t="str">
        <x:v>Допущение</x:v>
      </x:c>
      <x:c r="G36" s="2" t="str">
        <x:v>Разметка, адресация, обучение 5 сотрудников</x:v>
      </x:c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>
      <x:c r="A37" s="2" t="str">
        <x:v>Поддержка улучшенного процесса</x:v>
      </x:c>
      <x:c r="B37" s="5" t="n">
        <x:v>150000</x:v>
      </x:c>
      <x:c r="C37" s="3" t="n">
        <x:v>50000</x:v>
      </x:c>
      <x:c r="D37" s="3" t="n">
        <x:v>350000</x:v>
      </x:c>
      <x:c r="E37" s="2" t="str">
        <x:v>₽/год</x:v>
      </x:c>
      <x:c r="F37" s="2" t="str">
        <x:v>Допущение</x:v>
      </x:c>
      <x:c r="G37" s="2" t="str">
        <x:v>Обновление инструкций и контроля</x:v>
      </x:c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>
      <x:c r="A38" s="2" t="str">
        <x:v>Роботизированный участок: оборудование</x:v>
      </x:c>
      <x:c r="B38" s="5" t="n">
        <x:v>4200000</x:v>
      </x:c>
      <x:c r="C38" s="3" t="n">
        <x:v>2500000</x:v>
      </x:c>
      <x:c r="D38" s="3" t="n">
        <x:v>8000000</x:v>
      </x:c>
      <x:c r="E38" s="2" t="str">
        <x:v>₽ единовр.</x:v>
      </x:c>
      <x:c r="F38" s="2" t="str">
        <x:v>Допущение</x:v>
      </x:c>
      <x:c r="G38" s="2" t="str">
        <x:v>Предложение с номенклатурой и НДС</x:v>
      </x:c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>
      <x:c r="A39" s="2" t="str">
        <x:v>WMS-интеграция и тесты</x:v>
      </x:c>
      <x:c r="B39" s="5" t="n">
        <x:v>900000</x:v>
      </x:c>
      <x:c r="C39" s="3" t="n">
        <x:v>300000</x:v>
      </x:c>
      <x:c r="D39" s="3" t="n">
        <x:v>2000000</x:v>
      </x:c>
      <x:c r="E39" s="2" t="str">
        <x:v>₽ единовр.</x:v>
      </x:c>
      <x:c r="F39" s="2" t="str">
        <x:v>Допущение</x:v>
      </x:c>
      <x:c r="G39" s="2" t="str">
        <x:v>ТЗ, интерфейс, исключения, приёмка</x:v>
      </x:c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>
      <x:c r="A40" s="2" t="str">
        <x:v>Монтаж и безопасность зоны</x:v>
      </x:c>
      <x:c r="B40" s="5" t="n">
        <x:v>400000</x:v>
      </x:c>
      <x:c r="C40" s="3" t="n">
        <x:v>150000</x:v>
      </x:c>
      <x:c r="D40" s="3" t="n">
        <x:v>900000</x:v>
      </x:c>
      <x:c r="E40" s="2" t="str">
        <x:v>₽ единовр.</x:v>
      </x:c>
      <x:c r="F40" s="2" t="str">
        <x:v>Допущение</x:v>
      </x:c>
      <x:c r="G40" s="2" t="str">
        <x:v>Проект пола, ограждений, электропитания</x:v>
      </x:c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>
      <x:c r="A41" s="2" t="str">
        <x:v>Пуск и первичное обучение операторов</x:v>
      </x:c>
      <x:c r="B41" s="5" t="n">
        <x:v>200000</x:v>
      </x:c>
      <x:c r="C41" s="3" t="n">
        <x:v>80000</x:v>
      </x:c>
      <x:c r="D41" s="3" t="n">
        <x:v>450000</x:v>
      </x:c>
      <x:c r="E41" s="2" t="str">
        <x:v>₽ единовр.</x:v>
      </x:c>
      <x:c r="F41" s="2" t="str">
        <x:v>Допущение</x:v>
      </x:c>
      <x:c r="G41" s="2" t="str">
        <x:v>Пусконаладка, оплаченные учебные дни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>
      <x:c r="A42" s="2" t="str">
        <x:v>ТО, запасные части, выезд</x:v>
      </x:c>
      <x:c r="B42" s="5" t="n">
        <x:v>550000</x:v>
      </x:c>
      <x:c r="C42" s="3" t="n">
        <x:v>250000</x:v>
      </x:c>
      <x:c r="D42" s="3" t="n">
        <x:v>1100000</x:v>
      </x:c>
      <x:c r="E42" s="2" t="str">
        <x:v>₽/год</x:v>
      </x:c>
      <x:c r="F42" s="2" t="str">
        <x:v>Допущение</x:v>
      </x:c>
      <x:c r="G42" s="2" t="str">
        <x:v>Состав сервиса, исключения, SLA</x:v>
      </x:c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>
      <x:c r="A43" s="2" t="str">
        <x:v>Лицензии участка и интерфейса</x:v>
      </x:c>
      <x:c r="B43" s="5" t="n">
        <x:v>100000</x:v>
      </x:c>
      <x:c r="C43" s="3" t="n">
        <x:v>0</x:v>
      </x:c>
      <x:c r="D43" s="3" t="n">
        <x:v>350000</x:v>
      </x:c>
      <x:c r="E43" s="2" t="str">
        <x:v>₽/год</x:v>
      </x:c>
      <x:c r="F43" s="2" t="str">
        <x:v>Допущение</x:v>
      </x:c>
      <x:c r="G43" s="2" t="str">
        <x:v>Стоимость права, индексация и продление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>
      <x:c r="A44" s="2" t="str">
        <x:v>Энергия и расходники участка</x:v>
      </x:c>
      <x:c r="B44" s="5" t="n">
        <x:v>120000</x:v>
      </x:c>
      <x:c r="C44" s="3" t="n">
        <x:v>40000</x:v>
      </x:c>
      <x:c r="D44" s="3" t="n">
        <x:v>260000</x:v>
      </x:c>
      <x:c r="E44" s="2" t="str">
        <x:v>₽/год</x:v>
      </x:c>
      <x:c r="F44" s="2" t="str">
        <x:v>Допущение</x:v>
      </x:c>
      <x:c r="G44" s="2" t="str">
        <x:v>Тариф, фактические часы, расходники</x:v>
      </x:c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>
      <x:c r="A45" s="2" t="str">
        <x:v>Ежегодное обучение и поддержка операторов</x:v>
      </x:c>
      <x:c r="B45" s="5" t="n">
        <x:v>30000</x:v>
      </x:c>
      <x:c r="C45" s="3" t="n">
        <x:v>10000</x:v>
      </x:c>
      <x:c r="D45" s="3" t="n">
        <x:v>80000</x:v>
      </x:c>
      <x:c r="E45" s="2" t="str">
        <x:v>₽/год</x:v>
      </x:c>
      <x:c r="F45" s="2" t="str">
        <x:v>Допущение</x:v>
      </x:c>
      <x:c r="G45" s="2" t="str">
        <x:v>Смены, новые сотрудники, техподдержка</x:v>
      </x:c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>
      <x:c r="A46" s="2" t="str">
        <x:v>Гарантированный срок сервиса и ПО</x:v>
      </x:c>
      <x:c r="B46" s="5" t="n">
        <x:v>5</x:v>
      </x:c>
      <x:c r="C46" s="3" t="n">
        <x:v>3</x:v>
      </x:c>
      <x:c r="D46" s="3" t="n">
        <x:v>5</x:v>
      </x:c>
      <x:c r="E46" s="2" t="str">
        <x:v>лет</x:v>
      </x:c>
      <x:c r="F46" s="2" t="str">
        <x:v>Допущение</x:v>
      </x:c>
      <x:c r="G46" s="2" t="str">
        <x:v>При более коротком сроке нет продления в модели</x:v>
      </x:c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>
      <x:c r="A47" s="2" t="str">
        <x:v>Реальная цена капитала</x:v>
      </x:c>
      <x:c r="B47" s="11" t="n">
        <x:v>0.14</x:v>
      </x:c>
      <x:c r="C47" s="9" t="n">
        <x:v>0.1</x:v>
      </x:c>
      <x:c r="D47" s="9" t="n">
        <x:v>0.22</x:v>
      </x:c>
      <x:c r="E47" s="2" t="str">
        <x:v>годовая доля</x:v>
      </x:c>
      <x:c r="F47" s="2" t="str">
        <x:v>Допущение</x:v>
      </x:c>
      <x:c r="G47" s="2" t="str">
        <x:v>Отдел финансов: ставка к рублям 2026 года</x:v>
      </x:c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>
      <x:c r="A48" s="2" t="str">
        <x:v>Ошибки текущей сборки</x:v>
      </x:c>
      <x:c r="B48" s="11" t="n">
        <x:v>0.011</x:v>
      </x:c>
      <x:c r="C48" s="9" t="n">
        <x:v>0.004</x:v>
      </x:c>
      <x:c r="D48" s="9" t="n">
        <x:v>0.025</x:v>
      </x:c>
      <x:c r="E48" s="2" t="str">
        <x:v>доля строк</x:v>
      </x:c>
      <x:c r="F48" s="2" t="str">
        <x:v>Допущение</x:v>
      </x:c>
      <x:c r="G48" s="2" t="str">
        <x:v>Претензии и исправления по когортам</x:v>
      </x:c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>
      <x:c r="A49" s="2" t="str">
        <x:v>Ошибки улучшенной сборки</x:v>
      </x:c>
      <x:c r="B49" s="11" t="n">
        <x:v>0.007</x:v>
      </x:c>
      <x:c r="C49" s="9" t="n">
        <x:v>0.003</x:v>
      </x:c>
      <x:c r="D49" s="9" t="n">
        <x:v>0.015</x:v>
      </x:c>
      <x:c r="E49" s="2" t="str">
        <x:v>доля строк</x:v>
      </x:c>
      <x:c r="F49" s="2" t="str">
        <x:v>Допущение</x:v>
      </x:c>
      <x:c r="G49" s="2" t="str">
        <x:v>Качество после пилота</x:v>
      </x:c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>
      <x:c r="A50" s="2" t="str">
        <x:v>Ошибки на строках временных работников</x:v>
      </x:c>
      <x:c r="B50" s="11" t="n">
        <x:v>0.013</x:v>
      </x:c>
      <x:c r="C50" s="9" t="n">
        <x:v>0.006</x:v>
      </x:c>
      <x:c r="D50" s="9" t="n">
        <x:v>0.025</x:v>
      </x:c>
      <x:c r="E50" s="2" t="str">
        <x:v>доля строк</x:v>
      </x:c>
      <x:c r="F50" s="2" t="str">
        <x:v>Допущение</x:v>
      </x:c>
      <x:c r="G50" s="2" t="str">
        <x:v>Дефекты на строках по исполнителю</x:v>
      </x:c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>
      <x:c r="A51" s="2" t="str">
        <x:v>Ошибки на строках участка</x:v>
      </x:c>
      <x:c r="B51" s="11" t="n">
        <x:v>0.0035</x:v>
      </x:c>
      <x:c r="C51" s="9" t="n">
        <x:v>0.001</x:v>
      </x:c>
      <x:c r="D51" s="9" t="n">
        <x:v>0.01</x:v>
      </x:c>
      <x:c r="E51" s="2" t="str">
        <x:v>доля строк</x:v>
      </x:c>
      <x:c r="F51" s="2" t="str">
        <x:v>Допущение</x:v>
      </x:c>
      <x:c r="G51" s="2" t="str">
        <x:v>Тесты на своей номенклатуре</x:v>
      </x:c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>
      <x:c r="A52" s="2" t="str">
        <x:v>Полный расход на исправление ошибки</x:v>
      </x:c>
      <x:c r="B52" s="5" t="n">
        <x:v>1200</x:v>
      </x:c>
      <x:c r="C52" s="3" t="n">
        <x:v>400</x:v>
      </x:c>
      <x:c r="D52" s="3" t="n">
        <x:v>3500</x:v>
      </x:c>
      <x:c r="E52" s="2" t="str">
        <x:v>₽/случай</x:v>
      </x:c>
      <x:c r="F52" s="2" t="str">
        <x:v>Допущение</x:v>
      </x:c>
      <x:c r="G52" s="2" t="str">
        <x:v>Возвраты, дозавоз, труд; без двойного счёта</x:v>
      </x:c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>
      <x:c r="A53" s="2" t="str">
        <x:v>Цена строки, отгруженной позже нужной недели</x:v>
      </x:c>
      <x:c r="B53" s="5" t="n">
        <x:v>400</x:v>
      </x:c>
      <x:c r="C53" s="3" t="n">
        <x:v>0</x:v>
      </x:c>
      <x:c r="D53" s="3" t="n">
        <x:v>1000</x:v>
      </x:c>
      <x:c r="E53" s="2" t="str">
        <x:v>₽/строку</x:v>
      </x:c>
      <x:c r="F53" s="2" t="str">
        <x:v>Допущение</x:v>
      </x:c>
      <x:c r="G53" s="2" t="str">
        <x:v>Подтвердить штраф/досыл/маржу; наиболее важный ввод</x:v>
      </x:c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>
      <x:c r="A54" s="2" t="str">
        <x:v>Действующая занятая площадь</x:v>
      </x:c>
      <x:c r="B54" s="5" t="n">
        <x:v>1000</x:v>
      </x:c>
      <x:c r="C54" s="3" t="n">
        <x:v>500</x:v>
      </x:c>
      <x:c r="D54" s="3" t="n">
        <x:v>3000</x:v>
      </x:c>
      <x:c r="E54" s="2" t="str">
        <x:v>м²</x:v>
      </x:c>
      <x:c r="F54" s="2" t="str">
        <x:v>Допущение</x:v>
      </x:c>
      <x:c r="G54" s="2" t="str">
        <x:v>План, договор аренды</x:v>
      </x:c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>
      <x:c r="A55" s="2" t="str">
        <x:v>Свободная пригодная площадь</x:v>
      </x:c>
      <x:c r="B55" s="5" t="n">
        <x:v>0</x:v>
      </x:c>
      <x:c r="C55" s="3" t="n">
        <x:v>0</x:v>
      </x:c>
      <x:c r="D55" s="3" t="n">
        <x:v>100</x:v>
      </x:c>
      <x:c r="E55" s="2" t="str">
        <x:v>м²</x:v>
      </x:c>
      <x:c r="F55" s="2" t="str">
        <x:v>Допущение</x:v>
      </x:c>
      <x:c r="G55" s="2" t="str">
        <x:v>Замер безопасного и доступного пола</x:v>
      </x:c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>
      <x:c r="A56" s="2" t="str">
        <x:v>Требуемая площадь роботизированного участка</x:v>
      </x:c>
      <x:c r="B56" s="5" t="n">
        <x:v>45</x:v>
      </x:c>
      <x:c r="C56" s="3" t="n">
        <x:v>20</x:v>
      </x:c>
      <x:c r="D56" s="3" t="n">
        <x:v>120</x:v>
      </x:c>
      <x:c r="E56" s="2" t="str">
        <x:v>м²</x:v>
      </x:c>
      <x:c r="F56" s="2" t="str">
        <x:v>Допущение</x:v>
      </x:c>
      <x:c r="G56" s="2" t="str">
        <x:v>Схема с проходами и обслуживанием</x:v>
      </x:c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>
      <x:c r="A57" s="2" t="str">
        <x:v>Цена дополнительной арендуемой площади</x:v>
      </x:c>
      <x:c r="B57" s="5" t="n">
        <x:v>400</x:v>
      </x:c>
      <x:c r="C57" s="3" t="n">
        <x:v>200</x:v>
      </x:c>
      <x:c r="D57" s="3" t="n">
        <x:v>800</x:v>
      </x:c>
      <x:c r="E57" s="2" t="str">
        <x:v>₽/м²-мес.</x:v>
      </x:c>
      <x:c r="F57" s="2" t="str">
        <x:v>Допущение</x:v>
      </x:c>
      <x:c r="G57" s="2" t="str">
        <x:v>Нулевой расход, если доп. аренда не нужна</x:v>
      </x:c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>
      <x:c r="A58" s="2" t="str">
        <x:v>Операторы участка для начального обучения</x:v>
      </x:c>
      <x:c r="B58" s="5" t="n">
        <x:v>2</x:v>
      </x:c>
      <x:c r="C58" s="3" t="n">
        <x:v>1</x:v>
      </x:c>
      <x:c r="D58" s="3" t="n">
        <x:v>4</x:v>
      </x:c>
      <x:c r="E58" s="2" t="str">
        <x:v>чел.</x:v>
      </x:c>
      <x:c r="F58" s="2" t="str">
        <x:v>Допущение</x:v>
      </x:c>
      <x:c r="G58" s="2" t="str">
        <x:v>Смены и назначенные ответственные</x:v>
      </x:c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>
      <x:c r="A59" s="2" t="str">
        <x:v>Первичное обучение каждого оператора</x:v>
      </x:c>
      <x:c r="B59" s="5" t="n">
        <x:v>3</x:v>
      </x:c>
      <x:c r="C59" s="3" t="n">
        <x:v>2</x:v>
      </x:c>
      <x:c r="D59" s="3" t="n">
        <x:v>5</x:v>
      </x:c>
      <x:c r="E59" s="2" t="str">
        <x:v>дней/чел.</x:v>
      </x:c>
      <x:c r="F59" s="2" t="str">
        <x:v>Допущение</x:v>
      </x:c>
      <x:c r="G59" s="2" t="str">
        <x:v>Пуск, инструктаж, зачёт</x:v>
      </x:c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>
      <x:c r="A60" s="2" t="str">
        <x:v>Повторное обучение каждого оператора</x:v>
      </x:c>
      <x:c r="B60" s="5" t="n">
        <x:v>1</x:v>
      </x:c>
      <x:c r="C60" s="3" t="n">
        <x:v>0</x:v>
      </x:c>
      <x:c r="D60" s="3" t="n">
        <x:v>2</x:v>
      </x:c>
      <x:c r="E60" s="2" t="str">
        <x:v>дней/год</x:v>
      </x:c>
      <x:c r="F60" s="2" t="str">
        <x:v>Допущение</x:v>
      </x:c>
      <x:c r="G60" s="2" t="str">
        <x:v>Содержится в ежегодной поддержке</x:v>
      </x:c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>
      <x:c r="A61" s="2" t="str">
        <x:v>Первичное обучение штатного персонала</x:v>
      </x:c>
      <x:c r="B61" s="5" t="n">
        <x:v>1</x:v>
      </x:c>
      <x:c r="C61" s="3" t="n">
        <x:v>0.5</x:v>
      </x:c>
      <x:c r="D61" s="3" t="n">
        <x:v>2</x:v>
      </x:c>
      <x:c r="E61" s="2" t="str">
        <x:v>дней/чел.</x:v>
      </x:c>
      <x:c r="F61" s="2" t="str">
        <x:v>Допущение</x:v>
      </x:c>
      <x:c r="G61" s="2" t="str">
        <x:v>Содержится в разовой перенастройке</x:v>
      </x:c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>
      <x:c r="A62" s="2" t="str">
        <x:v>Незакрытые временные смены в стресс-неделю</x:v>
      </x:c>
      <x:c r="B62" s="5" t="n">
        <x:v>5</x:v>
      </x:c>
      <x:c r="C62" s="3" t="n">
        <x:v>2</x:v>
      </x:c>
      <x:c r="D62" s="3" t="n">
        <x:v>7</x:v>
      </x:c>
      <x:c r="E62" s="2" t="str">
        <x:v>смен/нед.</x:v>
      </x:c>
      <x:c r="F62" s="2" t="str">
        <x:v>Допущение</x:v>
      </x:c>
      <x:c r="G62" s="2" t="str">
        <x:v>Сценарий срыва, не ожидаемое значение</x:v>
      </x:c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>
      <x:c r="A63" s="2" t="str">
        <x:v>Полные недели отказа в стресс-сценарии</x:v>
      </x:c>
      <x:c r="B63" s="5" t="n">
        <x:v>1</x:v>
      </x:c>
      <x:c r="C63" s="3" t="n">
        <x:v>1</x:v>
      </x:c>
      <x:c r="D63" s="3" t="n">
        <x:v>2</x:v>
      </x:c>
      <x:c r="E63" s="2" t="str">
        <x:v>недель</x:v>
      </x:c>
      <x:c r="F63" s="2" t="str">
        <x:v>Допущение</x:v>
      </x:c>
      <x:c r="G63" s="2" t="str">
        <x:v>Сравнить с временем сервисного восстановления</x:v>
      </x:c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52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1" t="str">
        <x:v>Мощность и пятилетние денежные расходы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2" t="str">
        <x:v>Строка считается поздней, если не вошла в мощность текущей недели. Перенос хвоста на следующую неделю не моделируется.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9" customHeight="1">
      <x:c r="A4" s="24" t="str">
        <x:v>Расчёт</x:v>
      </x:c>
      <x:c r="B4" s="24" t="str">
        <x:v>Единица</x:v>
      </x:c>
      <x:c r="C4" s="24" t="str">
        <x:v>Ручной</x:v>
      </x:c>
      <x:c r="D4" s="24" t="str">
        <x:v>Процесс</x:v>
      </x:c>
      <x:c r="E4" s="24" t="str">
        <x:v>Временные</x:v>
      </x:c>
      <x:c r="F4" s="24" t="str">
        <x:v>Участок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 t="str">
        <x:v>Строки в неделю пика</x:v>
      </x:c>
      <x:c r="B5" s="2" t="str">
        <x:v>строк</x:v>
      </x:c>
      <x:c r="C5" s="3" t="n">
        <x:f>'Параметры'!$B$10*'Параметры'!$B$12</x:f>
        <x:v>3900</x:v>
      </x:c>
      <x:c r="D5" s="3" t="n">
        <x:f>'Параметры'!$B$10*'Параметры'!$B$12</x:f>
        <x:v>3900</x:v>
      </x:c>
      <x:c r="E5" s="3" t="n">
        <x:f>'Параметры'!$B$10*'Параметры'!$B$12</x:f>
        <x:v>3900</x:v>
      </x:c>
      <x:c r="F5" s="3" t="n">
        <x:f>'Параметры'!$B$10*'Параметры'!$B$12</x:f>
        <x:v>3900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 t="str">
        <x:v>Строки вне пика</x:v>
      </x:c>
      <x:c r="B6" s="2" t="str">
        <x:v>строк</x:v>
      </x:c>
      <x:c r="C6" s="3" t="n">
        <x:f>'Параметры'!$B$11*'Параметры'!$B$12</x:f>
        <x:v>1690</x:v>
      </x:c>
      <x:c r="D6" s="3" t="n">
        <x:f>'Параметры'!$B$11*'Параметры'!$B$12</x:f>
        <x:v>1690</x:v>
      </x:c>
      <x:c r="E6" s="3" t="n">
        <x:f>'Параметры'!$B$11*'Параметры'!$B$12</x:f>
        <x:v>1690</x:v>
      </x:c>
      <x:c r="F6" s="3" t="n">
        <x:f>'Параметры'!$B$11*'Параметры'!$B$12</x:f>
        <x:v>1690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2" t="str">
        <x:v>Выработка постоянного работника</x:v>
      </x:c>
      <x:c r="B7" s="2" t="str">
        <x:v>строк/смену</x:v>
      </x:c>
      <x:c r="C7" s="3" t="n">
        <x:f>'Параметры'!$B$19</x:f>
        <x:v>110</x:v>
      </x:c>
      <x:c r="D7" s="3" t="n">
        <x:f>'Параметры'!$B$19*(1+'Параметры'!$B$20)</x:f>
        <x:v>132</x:v>
      </x:c>
      <x:c r="E7" s="3" t="n">
        <x:f>'Параметры'!$B$19*(1+'Параметры'!$B$20)</x:f>
        <x:v>132</x:v>
      </x:c>
      <x:c r="F7" s="3" t="n">
        <x:f>'Параметры'!$B$19*(1+'Параметры'!$B$20)</x:f>
        <x:v>132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 t="str">
        <x:v>Мощность постоянных работников</x:v>
      </x:c>
      <x:c r="B8" s="2" t="str">
        <x:v>строк/нед.</x:v>
      </x:c>
      <x:c r="C8" s="3" t="n">
        <x:f>C7*'Параметры'!$B$17*'Параметры'!$B$18</x:f>
        <x:v>2750</x:v>
      </x:c>
      <x:c r="D8" s="3" t="n">
        <x:f>D7*'Параметры'!$B$17*'Параметры'!$B$18</x:f>
        <x:v>3300</x:v>
      </x:c>
      <x:c r="E8" s="3" t="n">
        <x:f>E7*'Параметры'!$B$17*'Параметры'!$B$18</x:f>
        <x:v>3300</x:v>
      </x:c>
      <x:c r="F8" s="3" t="n">
        <x:f>F7*'Параметры'!$B$17*'Параметры'!$B$18</x:f>
        <x:v>3300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>
      <x:c r="A9" s="2" t="str">
        <x:v>Подходящие строки в пик</x:v>
      </x:c>
      <x:c r="B9" s="2" t="str">
        <x:v>строк/нед.</x:v>
      </x:c>
      <x:c r="C9" s="3" t="n">
        <x:f>0</x:f>
        <x:v>0</x:v>
      </x:c>
      <x:c r="D9" s="3" t="n">
        <x:f>0</x:f>
        <x:v>0</x:v>
      </x:c>
      <x:c r="E9" s="3" t="n">
        <x:f>0</x:f>
        <x:v>0</x:v>
      </x:c>
      <x:c r="F9" s="3" t="n">
        <x:f>F5*(1-'Параметры'!$B$14)*'Параметры'!$B$15</x:f>
        <x:v>2184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>
      <x:c r="A10" s="2" t="str">
        <x:v>Подходящие строки вне пика</x:v>
      </x:c>
      <x:c r="B10" s="2" t="str">
        <x:v>строк/нед.</x:v>
      </x:c>
      <x:c r="C10" s="3" t="n">
        <x:f>0</x:f>
        <x:v>0</x:v>
      </x:c>
      <x:c r="D10" s="3" t="n">
        <x:f>0</x:f>
        <x:v>0</x:v>
      </x:c>
      <x:c r="E10" s="3" t="n">
        <x:f>0</x:f>
        <x:v>0</x:v>
      </x:c>
      <x:c r="F10" s="3" t="n">
        <x:f>F6*(1-'Параметры'!$B$14)*'Параметры'!$B$15</x:f>
        <x:v>946.4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>
      <x:c r="A11" s="2" t="str">
        <x:v>Прошли через участок в пик</x:v>
      </x:c>
      <x:c r="B11" s="2" t="str">
        <x:v>строк/нед.</x:v>
      </x:c>
      <x:c r="C11" s="3" t="n">
        <x:f>0</x:f>
        <x:v>0</x:v>
      </x:c>
      <x:c r="D11" s="3" t="n">
        <x:f>0</x:f>
        <x:v>0</x:v>
      </x:c>
      <x:c r="E11" s="3" t="n">
        <x:f>0</x:f>
        <x:v>0</x:v>
      </x:c>
      <x:c r="F11" s="3" t="n">
        <x:f>MIN(F9,'Параметры'!$B$23*(1-'Параметры'!$B$24))</x:f>
        <x:v>2184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>
      <x:c r="A12" s="2" t="str">
        <x:v>Прошли через участок вне пика</x:v>
      </x:c>
      <x:c r="B12" s="2" t="str">
        <x:v>строк/нед.</x:v>
      </x:c>
      <x:c r="C12" s="3" t="n">
        <x:f>0</x:f>
        <x:v>0</x:v>
      </x:c>
      <x:c r="D12" s="3" t="n">
        <x:f>0</x:f>
        <x:v>0</x:v>
      </x:c>
      <x:c r="E12" s="3" t="n">
        <x:f>0</x:f>
        <x:v>0</x:v>
      </x:c>
      <x:c r="F12" s="3" t="n">
        <x:f>MIN(F10,'Параметры'!$B$23*(1-'Параметры'!$B$24)*'Параметры'!$B$27)</x:f>
        <x:v>705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>
      <x:c r="A13" s="2" t="str">
        <x:v>Сэкономленная ручная работа в пик</x:v>
      </x:c>
      <x:c r="B13" s="2" t="str">
        <x:v>экв. строк/нед.</x:v>
      </x:c>
      <x:c r="C13" s="3" t="n">
        <x:f>0</x:f>
        <x:v>0</x:v>
      </x:c>
      <x:c r="D13" s="3" t="n">
        <x:f>0</x:f>
        <x:v>0</x:v>
      </x:c>
      <x:c r="E13" s="3" t="n">
        <x:f>0</x:f>
        <x:v>0</x:v>
      </x:c>
      <x:c r="F13" s="3" t="n">
        <x:f>F11*'Параметры'!$B$25*'Параметры'!$B$26</x:f>
        <x:v>1206.66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>
      <x:c r="A14" s="2" t="str">
        <x:v>Сэкономленная работа вне пика</x:v>
      </x:c>
      <x:c r="B14" s="2" t="str">
        <x:v>экв. строк/нед.</x:v>
      </x:c>
      <x:c r="C14" s="3" t="n">
        <x:f>0</x:f>
        <x:v>0</x:v>
      </x:c>
      <x:c r="D14" s="3" t="n">
        <x:f>0</x:f>
        <x:v>0</x:v>
      </x:c>
      <x:c r="E14" s="3" t="n">
        <x:f>0</x:f>
        <x:v>0</x:v>
      </x:c>
      <x:c r="F14" s="3" t="n">
        <x:f>F12*'Параметры'!$B$25*'Параметры'!$B$26</x:f>
        <x:v>389.5125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>
      <x:c r="A15" s="2" t="str">
        <x:v>Нагрузка людей в пик</x:v>
      </x:c>
      <x:c r="B15" s="2" t="str">
        <x:v>экв. строк/нед.</x:v>
      </x:c>
      <x:c r="C15" s="3" t="n">
        <x:f>C5-C13</x:f>
        <x:v>3900</x:v>
      </x:c>
      <x:c r="D15" s="3" t="n">
        <x:f>D5-D13</x:f>
        <x:v>3900</x:v>
      </x:c>
      <x:c r="E15" s="3" t="n">
        <x:f>E5-E13</x:f>
        <x:v>3900</x:v>
      </x:c>
      <x:c r="F15" s="3" t="n">
        <x:f>F5-F13</x:f>
        <x:v>2693.34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>
      <x:c r="A16" s="2" t="str">
        <x:v>Нагрузка людей вне пика</x:v>
      </x:c>
      <x:c r="B16" s="2" t="str">
        <x:v>экв. строк/нед.</x:v>
      </x:c>
      <x:c r="C16" s="3" t="n">
        <x:f>C6-C14</x:f>
        <x:v>1690</x:v>
      </x:c>
      <x:c r="D16" s="3" t="n">
        <x:f>D6-D14</x:f>
        <x:v>1690</x:v>
      </x:c>
      <x:c r="E16" s="3" t="n">
        <x:f>E6-E14</x:f>
        <x:v>1690</x:v>
      </x:c>
      <x:c r="F16" s="3" t="n">
        <x:f>F6-F14</x:f>
        <x:v>1300.4875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>
      <x:c r="A17" s="2" t="str">
        <x:v>План временных работников в пик</x:v>
      </x:c>
      <x:c r="B17" s="2" t="str">
        <x:v>чел.</x:v>
      </x:c>
      <x:c r="C17" s="3" t="n">
        <x:f>0</x:f>
        <x:v>0</x:v>
      </x:c>
      <x:c r="D17" s="3" t="n">
        <x:f>0</x:f>
        <x:v>0</x:v>
      </x:c>
      <x:c r="E17" s="3" t="n">
        <x:f>IF('Параметры'!$B$21*'Параметры'!$B$22=0,0,ROUNDUP(MAX(0,E15-E8)/(E7*'Параметры'!$B$17*'Параметры'!$B$21*'Параметры'!$B$22),0))</x:f>
        <x:v>2</x:v>
      </x:c>
      <x:c r="F17" s="3" t="n">
        <x:f>IF('Параметры'!$B$21*'Параметры'!$B$22=0,0,ROUNDUP(MAX(0,F15-F8)/(F7*'Параметры'!$B$17*'Параметры'!$B$21*'Параметры'!$B$22),0))</x:f>
        <x:v>0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>
      <x:c r="A18" s="2" t="str">
        <x:v>Полученная мощность временных работников</x:v>
      </x:c>
      <x:c r="B18" s="2" t="str">
        <x:v>экв. строк/нед.</x:v>
      </x:c>
      <x:c r="C18" s="3" t="n">
        <x:f>C17*C7*'Параметры'!$B$17*'Параметры'!$B$21*'Параметры'!$B$22</x:f>
        <x:v>0</x:v>
      </x:c>
      <x:c r="D18" s="3" t="n">
        <x:f>D17*D7*'Параметры'!$B$17*'Параметры'!$B$21*'Параметры'!$B$22</x:f>
        <x:v>0</x:v>
      </x:c>
      <x:c r="E18" s="3" t="n">
        <x:f>E17*E7*'Параметры'!$B$17*'Параметры'!$B$21*'Параметры'!$B$22</x:f>
        <x:v>950.4</x:v>
      </x:c>
      <x:c r="F18" s="3" t="n">
        <x:f>F17*F7*'Параметры'!$B$17*'Параметры'!$B$21*'Параметры'!$B$22</x:f>
        <x:v>0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>
      <x:c r="A19" s="2" t="str">
        <x:v>Поздние строки в пик</x:v>
      </x:c>
      <x:c r="B19" s="2" t="str">
        <x:v>строк/нед.</x:v>
      </x:c>
      <x:c r="C19" s="3" t="n">
        <x:f>MAX(0,C15-C8-C18)</x:f>
        <x:v>1150</x:v>
      </x:c>
      <x:c r="D19" s="3" t="n">
        <x:f>MAX(0,D15-D8-D18)</x:f>
        <x:v>600</x:v>
      </x:c>
      <x:c r="E19" s="3" t="n">
        <x:f>MAX(0,E15-E8-E18)</x:f>
        <x:v>0</x:v>
      </x:c>
      <x:c r="F19" s="3" t="n">
        <x:f>MAX(0,F15-F8-F18)</x:f>
        <x:v>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>
      <x:c r="A20" s="2" t="str">
        <x:v>Поздние строки вне пика</x:v>
      </x:c>
      <x:c r="B20" s="2" t="str">
        <x:v>строк/нед.</x:v>
      </x:c>
      <x:c r="C20" s="3" t="n">
        <x:f>MAX(0,C16-C8)</x:f>
        <x:v>0</x:v>
      </x:c>
      <x:c r="D20" s="3" t="n">
        <x:f>MAX(0,D16-D8)</x:f>
        <x:v>0</x:v>
      </x:c>
      <x:c r="E20" s="3" t="n">
        <x:f>MAX(0,E16-E8)</x:f>
        <x:v>0</x:v>
      </x:c>
      <x:c r="F20" s="3" t="n">
        <x:f>MAX(0,F16-F8)</x:f>
        <x:v>0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>
      <x:c r="A21" s="2" t="str">
        <x:v>Строки с участием временных работников</x:v>
      </x:c>
      <x:c r="B21" s="2" t="str">
        <x:v>строк/нед.</x:v>
      </x:c>
      <x:c r="C21" s="3" t="n">
        <x:f>MIN(MAX(0,C15-C8),C18)</x:f>
        <x:v>0</x:v>
      </x:c>
      <x:c r="D21" s="3" t="n">
        <x:f>MIN(MAX(0,D15-D8),D18)</x:f>
        <x:v>0</x:v>
      </x:c>
      <x:c r="E21" s="3" t="n">
        <x:f>MIN(MAX(0,E15-E8),E18)</x:f>
        <x:v>600</x:v>
      </x:c>
      <x:c r="F21" s="3" t="n">
        <x:f>MIN(MAX(0,F15-F8),F18)</x:f>
        <x:v>0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>
      <x:c r="A22" s="2" t="str">
        <x:v>Ожидаемые ошибки в пик</x:v>
      </x:c>
      <x:c r="B22" s="2" t="str">
        <x:v>случаев/нед.</x:v>
      </x:c>
      <x:c r="C22" s="6" t="n">
        <x:f>C5*'Параметры'!$B$48</x:f>
        <x:v>42.9</x:v>
      </x:c>
      <x:c r="D22" s="6" t="n">
        <x:f>D5*'Параметры'!$B$49</x:f>
        <x:v>27.3</x:v>
      </x:c>
      <x:c r="E22" s="6" t="n">
        <x:f>E5*'Параметры'!$B$49+E21*('Параметры'!$B$50-'Параметры'!$B$49)</x:f>
        <x:v>30.9</x:v>
      </x:c>
      <x:c r="F22" s="6" t="n">
        <x:f>F5*'Параметры'!$B$49-F11*('Параметры'!$B$49-'Параметры'!$B$51)+F21*('Параметры'!$B$50-'Параметры'!$B$49)</x:f>
        <x:v>19.656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>
      <x:c r="A23" s="2" t="str">
        <x:v>Ожидаемые ошибки вне пика</x:v>
      </x:c>
      <x:c r="B23" s="2" t="str">
        <x:v>случаев/нед.</x:v>
      </x:c>
      <x:c r="C23" s="6" t="n">
        <x:f>C6*'Параметры'!$B$48</x:f>
        <x:v>18.59</x:v>
      </x:c>
      <x:c r="D23" s="6" t="n">
        <x:f>D6*'Параметры'!$B$49</x:f>
        <x:v>11.83</x:v>
      </x:c>
      <x:c r="E23" s="6" t="n">
        <x:f>E6*'Параметры'!$B$49</x:f>
        <x:v>11.83</x:v>
      </x:c>
      <x:c r="F23" s="6" t="n">
        <x:f>F6*'Параметры'!$B$49-F12*('Параметры'!$B$49-'Параметры'!$B$51)</x:f>
        <x:v>9.3625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>
      <x:c r="A24" s="2" t="str">
        <x:v>План временных смен за неделю</x:v>
      </x:c>
      <x:c r="B24" s="2" t="str">
        <x:v>смен/нед.</x:v>
      </x:c>
      <x:c r="C24" s="3" t="n">
        <x:f>C17*'Параметры'!$B$17</x:f>
        <x:v>0</x:v>
      </x:c>
      <x:c r="D24" s="3" t="n">
        <x:f>D17*'Параметры'!$B$17</x:f>
        <x:v>0</x:v>
      </x:c>
      <x:c r="E24" s="3" t="n">
        <x:f>E17*'Параметры'!$B$17</x:f>
        <x:v>10</x:v>
      </x:c>
      <x:c r="F24" s="3" t="n">
        <x:f>F17*'Параметры'!$B$17</x:f>
        <x:v>0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>
      <x:c r="A25" s="2" t="str">
        <x:v>Ожидаемо незакрытых временных смен</x:v>
      </x:c>
      <x:c r="B25" s="2" t="str">
        <x:v>смен/нед.</x:v>
      </x:c>
      <x:c r="C25" s="6" t="n">
        <x:f>C24*(1-'Параметры'!$B$22)</x:f>
        <x:v>0</x:v>
      </x:c>
      <x:c r="D25" s="6" t="n">
        <x:f>D24*(1-'Параметры'!$B$22)</x:f>
        <x:v>0</x:v>
      </x:c>
      <x:c r="E25" s="6" t="n">
        <x:f>E24*(1-'Параметры'!$B$22)</x:f>
        <x:v>0.9999999999999998</x:v>
      </x:c>
      <x:c r="F25" s="6" t="n">
        <x:f>F24*(1-'Параметры'!$B$22)</x:f>
        <x:v>0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>
      <x:c r="A26" s="2" t="str">
        <x:v>Оплаченные временные смены за неделю</x:v>
      </x:c>
      <x:c r="B26" s="2" t="str">
        <x:v>₽/нед.</x:v>
      </x:c>
      <x:c r="C26" s="3" t="n">
        <x:f>C24*'Параметры'!$B$22*'Параметры'!$B$32</x:f>
        <x:v>0</x:v>
      </x:c>
      <x:c r="D26" s="3" t="n">
        <x:f>D24*'Параметры'!$B$22*'Параметры'!$B$32</x:f>
        <x:v>0</x:v>
      </x:c>
      <x:c r="E26" s="3" t="n">
        <x:f>E24*'Параметры'!$B$22*'Параметры'!$B$32</x:f>
        <x:v>43200</x:v>
      </x:c>
      <x:c r="F26" s="3" t="n">
        <x:f>F24*'Параметры'!$B$22*'Параметры'!$B$32</x:f>
        <x:v>0</x:v>
      </x:c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>
      <x:c r="A27" s="2" t="str">
        <x:v>Подбор и обучение каждого сезона</x:v>
      </x:c>
      <x:c r="B27" s="2" t="str">
        <x:v>₽/сезон</x:v>
      </x:c>
      <x:c r="C27" s="3" t="n">
        <x:f>C17*('Параметры'!$B$33+'Параметры'!$B$34*'Параметры'!$B$32+'Параметры'!$B$35)</x:f>
        <x:v>0</x:v>
      </x:c>
      <x:c r="D27" s="3" t="n">
        <x:f>D17*('Параметры'!$B$33+'Параметры'!$B$34*'Параметры'!$B$32+'Параметры'!$B$35)</x:f>
        <x:v>0</x:v>
      </x:c>
      <x:c r="E27" s="3" t="n">
        <x:f>E17*('Параметры'!$B$33+'Параметры'!$B$34*'Параметры'!$B$32+'Параметры'!$B$35)</x:f>
        <x:v>89200</x:v>
      </x:c>
      <x:c r="F27" s="3" t="n">
        <x:f>F17*('Параметры'!$B$33+'Параметры'!$B$34*'Параметры'!$B$32+'Параметры'!$B$35)</x:f>
        <x:v>0</x:v>
      </x:c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>
      <x:c r="A28" s="2" t="str">
        <x:v>Первоначальный CAPEX</x:v>
      </x:c>
      <x:c r="B28" s="2" t="str">
        <x:v>₽ год 0</x:v>
      </x:c>
      <x:c r="C28" s="3" t="n">
        <x:f>0</x:f>
        <x:v>0</x:v>
      </x:c>
      <x:c r="D28" s="3" t="n">
        <x:f>'Параметры'!$B$36</x:f>
        <x:v>300000</x:v>
      </x:c>
      <x:c r="E28" s="3" t="n">
        <x:f>'Параметры'!$B$36</x:f>
        <x:v>300000</x:v>
      </x:c>
      <x:c r="F28" s="3" t="n">
        <x:f>'Параметры'!$B$36+'Параметры'!$B$38+'Параметры'!$B$39+'Параметры'!$B$40+'Параметры'!$B$41</x:f>
        <x:v>6000000</x:v>
      </x:c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>
      <x:c r="A29" s="2" t="str">
        <x:v>Поддержка улучшенного процесса</x:v>
      </x:c>
      <x:c r="B29" s="2" t="str">
        <x:v>₽/год</x:v>
      </x:c>
      <x:c r="C29" s="3" t="n">
        <x:f>0</x:f>
        <x:v>0</x:v>
      </x:c>
      <x:c r="D29" s="3" t="n">
        <x:f>'Параметры'!$B$37</x:f>
        <x:v>150000</x:v>
      </x:c>
      <x:c r="E29" s="3" t="n">
        <x:f>'Параметры'!$B$37</x:f>
        <x:v>150000</x:v>
      </x:c>
      <x:c r="F29" s="3" t="n">
        <x:f>'Параметры'!$B$37</x:f>
        <x:v>150000</x:v>
      </x:c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>
      <x:c r="A30" s="2" t="str">
        <x:v>Обслуживание, ПО, энергия участка</x:v>
      </x:c>
      <x:c r="B30" s="2" t="str">
        <x:v>₽/год</x:v>
      </x:c>
      <x:c r="C30" s="3" t="n">
        <x:f>0</x:f>
        <x:v>0</x:v>
      </x:c>
      <x:c r="D30" s="3" t="n">
        <x:f>0</x:f>
        <x:v>0</x:v>
      </x:c>
      <x:c r="E30" s="3" t="n">
        <x:f>0</x:f>
        <x:v>0</x:v>
      </x:c>
      <x:c r="F30" s="3" t="n">
        <x:f>'Параметры'!$B$42+'Параметры'!$B$43+'Параметры'!$B$44+'Параметры'!$B$45</x:f>
        <x:v>800000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>
      <x:c r="A31" s="2" t="str">
        <x:v>Дополнительная арендуемая площадь</x:v>
      </x:c>
      <x:c r="B31" s="2" t="str">
        <x:v>м²</x:v>
      </x:c>
      <x:c r="C31" s="3" t="n">
        <x:f>0</x:f>
        <x:v>0</x:v>
      </x:c>
      <x:c r="D31" s="3" t="n">
        <x:f>0</x:f>
        <x:v>0</x:v>
      </x:c>
      <x:c r="E31" s="3" t="n">
        <x:f>0</x:f>
        <x:v>0</x:v>
      </x:c>
      <x:c r="F31" s="3" t="n">
        <x:f>MAX(0,'Параметры'!$B$56-'Параметры'!$B$55)</x:f>
        <x:v>45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>
      <x:c r="A32" s="2" t="str">
        <x:v>Расход доп. площади</x:v>
      </x:c>
      <x:c r="B32" s="2" t="str">
        <x:v>₽/год</x:v>
      </x:c>
      <x:c r="C32" s="3" t="n">
        <x:f>C31*'Параметры'!$B$57*12</x:f>
        <x:v>0</x:v>
      </x:c>
      <x:c r="D32" s="3" t="n">
        <x:f>D31*'Параметры'!$B$57*12</x:f>
        <x:v>0</x:v>
      </x:c>
      <x:c r="E32" s="3" t="n">
        <x:f>E31*'Параметры'!$B$57*12</x:f>
        <x:v>0</x:v>
      </x:c>
      <x:c r="F32" s="3" t="n">
        <x:f>F31*'Параметры'!$B$57*12</x:f>
        <x:v>216000</x:v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>
      <x:c r="A33" s="2" t="str">
        <x:v>Общий ФОТ постоянных работников</x:v>
      </x:c>
      <x:c r="B33" s="2" t="str">
        <x:v>₽/год</x:v>
      </x:c>
      <x:c r="C33" s="3" t="n">
        <x:f>'Параметры'!$B$18*'Параметры'!$B$31*12</x:f>
        <x:v>7200000</x:v>
      </x:c>
      <x:c r="D33" s="3" t="n">
        <x:f>'Параметры'!$B$18*'Параметры'!$B$31*12</x:f>
        <x:v>7200000</x:v>
      </x:c>
      <x:c r="E33" s="3" t="n">
        <x:f>'Параметры'!$B$18*'Параметры'!$B$31*12</x:f>
        <x:v>7200000</x:v>
      </x:c>
      <x:c r="F33" s="3" t="n">
        <x:f>'Параметры'!$B$18*'Параметры'!$B$31*12</x:f>
        <x:v>7200000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>
      <x:c r="A34" s="2" t="str">
        <x:v>Общая действующая площадь</x:v>
      </x:c>
      <x:c r="B34" s="2" t="str">
        <x:v>₽/год</x:v>
      </x:c>
      <x:c r="C34" s="3" t="n">
        <x:f>'Параметры'!$B$54*'Параметры'!$B$57*12</x:f>
        <x:v>4800000</x:v>
      </x:c>
      <x:c r="D34" s="3" t="n">
        <x:f>'Параметры'!$B$54*'Параметры'!$B$57*12</x:f>
        <x:v>4800000</x:v>
      </x:c>
      <x:c r="E34" s="3" t="n">
        <x:f>'Параметры'!$B$54*'Параметры'!$B$57*12</x:f>
        <x:v>4800000</x:v>
      </x:c>
      <x:c r="F34" s="3" t="n">
        <x:f>'Параметры'!$B$54*'Параметры'!$B$57*12</x:f>
        <x:v>4800000</x:v>
      </x:c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>
      <x:c r="A35" s="2" t="str">
        <x:v>Участок готов к первому пику</x:v>
      </x:c>
      <x:c r="B35" s="2" t="str">
        <x:v>1/0</x:v>
      </x:c>
      <x:c r="C35" s="3" t="n">
        <x:f>0</x:f>
        <x:v>0</x:v>
      </x:c>
      <x:c r="D35" s="3" t="n">
        <x:f>0</x:f>
        <x:v>0</x:v>
      </x:c>
      <x:c r="E35" s="3" t="n">
        <x:f>0</x:f>
        <x:v>0</x:v>
      </x:c>
      <x:c r="F35" s="3" t="n">
        <x:f>IF('Параметры'!$B$28&gt;='Параметры'!$B$29,1,0)</x:f>
        <x:v>1</x:v>
      </x:c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>
      <x:c r="A38" s="2" t="str">
        <x:v>Расходы по годам; CAPEX оплачен в году 0, остальные суммы в конце года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>
      <x:c r="A39" s="2"/>
      <x:c r="B39" s="2" t="str">
        <x:v>Год</x:v>
      </x:c>
      <x:c r="C39" s="2" t="n">
        <x:v>1</x:v>
      </x:c>
      <x:c r="D39" s="2" t="n">
        <x:v>2</x:v>
      </x:c>
      <x:c r="E39" s="2" t="n">
        <x:v>3</x:v>
      </x:c>
      <x:c r="F39" s="2" t="n">
        <x:v>4</x:v>
      </x:c>
      <x:c r="G39" s="2" t="n">
        <x:v>5</x:v>
      </x:c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>
      <x:c r="A40" s="2"/>
      <x:c r="B40" s="2" t="str">
        <x:v>Дисконт-фактор</x:v>
      </x:c>
      <x:c r="C40" s="14" t="n">
        <x:f>1/(1+'Параметры'!$B$47)^1</x:f>
        <x:v>0.8771929824561403</x:v>
      </x:c>
      <x:c r="D40" s="14" t="n">
        <x:f>1/(1+'Параметры'!$B$47)^2</x:f>
        <x:v>0.7694675284702984</x:v>
      </x:c>
      <x:c r="E40" s="14" t="n">
        <x:f>1/(1+'Параметры'!$B$47)^3</x:f>
        <x:v>0.6749715162020161</x:v>
      </x:c>
      <x:c r="F40" s="14" t="n">
        <x:f>1/(1+'Параметры'!$B$47)^4</x:f>
        <x:v>0.5920802773701894</x:v>
      </x:c>
      <x:c r="G40" s="14" t="n">
        <x:f>1/(1+'Параметры'!$B$47)^5</x:f>
        <x:v>0.5193686643598152</x:v>
      </x:c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>
      <x:c r="A41" s="13" t="str">
        <x:v>Текущий ручной процесс</x:v>
      </x:c>
      <x:c r="B41" s="13"/>
      <x:c r="C41" s="13"/>
      <x:c r="D41" s="13"/>
      <x:c r="E41" s="13"/>
      <x:c r="F41" s="13"/>
      <x:c r="G41" s="13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>
      <x:c r="A42" s="2" t="str">
        <x:v>Участок работает</x:v>
      </x:c>
      <x:c r="B42" s="2"/>
      <x:c r="C42" s="2" t="n">
        <x:f>0</x:f>
        <x:v>0</x:v>
      </x:c>
      <x:c r="D42" s="2" t="n">
        <x:f>0</x:f>
        <x:v>0</x:v>
      </x:c>
      <x:c r="E42" s="2" t="n">
        <x:f>0</x:f>
        <x:v>0</x:v>
      </x:c>
      <x:c r="F42" s="2" t="n">
        <x:f>0</x:f>
        <x:v>0</x:v>
      </x:c>
      <x:c r="G42" s="2" t="n">
        <x:f>0</x:f>
        <x:v>0</x:v>
      </x:c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>
      <x:c r="A43" s="2" t="str">
        <x:v>Поздние строки за пиковую неделю</x:v>
      </x:c>
      <x:c r="B43" s="2"/>
      <x:c r="C43" s="3" t="n">
        <x:f>'Расчёт'!$C$19</x:f>
        <x:v>1150</x:v>
      </x:c>
      <x:c r="D43" s="3" t="n">
        <x:f>'Расчёт'!$C$19</x:f>
        <x:v>1150</x:v>
      </x:c>
      <x:c r="E43" s="3" t="n">
        <x:f>'Расчёт'!$C$19</x:f>
        <x:v>1150</x:v>
      </x:c>
      <x:c r="F43" s="3" t="n">
        <x:f>'Расчёт'!$C$19</x:f>
        <x:v>1150</x:v>
      </x:c>
      <x:c r="G43" s="3" t="n">
        <x:f>'Расчёт'!$C$19</x:f>
        <x:v>1150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>
      <x:c r="A44" s="2" t="str">
        <x:v>Поздние строки вне сезона за неделю</x:v>
      </x:c>
      <x:c r="B44" s="2"/>
      <x:c r="C44" s="3" t="n">
        <x:f>'Расчёт'!$C$20</x:f>
        <x:v>0</x:v>
      </x:c>
      <x:c r="D44" s="3" t="n">
        <x:f>'Расчёт'!$C$20</x:f>
        <x:v>0</x:v>
      </x:c>
      <x:c r="E44" s="3" t="n">
        <x:f>'Расчёт'!$C$20</x:f>
        <x:v>0</x:v>
      </x:c>
      <x:c r="F44" s="3" t="n">
        <x:f>'Расчёт'!$C$20</x:f>
        <x:v>0</x:v>
      </x:c>
      <x:c r="G44" s="3" t="n">
        <x:f>'Расчёт'!$C$20</x:f>
        <x:v>0</x:v>
      </x:c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>
      <x:c r="A45" s="2" t="str">
        <x:v>Ошибки за пиковую неделю</x:v>
      </x:c>
      <x:c r="B45" s="2"/>
      <x:c r="C45" s="6" t="n">
        <x:f>'Расчёт'!$C$22</x:f>
        <x:v>42.9</x:v>
      </x:c>
      <x:c r="D45" s="6" t="n">
        <x:f>'Расчёт'!$C$22</x:f>
        <x:v>42.9</x:v>
      </x:c>
      <x:c r="E45" s="6" t="n">
        <x:f>'Расчёт'!$C$22</x:f>
        <x:v>42.9</x:v>
      </x:c>
      <x:c r="F45" s="6" t="n">
        <x:f>'Расчёт'!$C$22</x:f>
        <x:v>42.9</x:v>
      </x:c>
      <x:c r="G45" s="6" t="n">
        <x:f>'Расчёт'!$C$22</x:f>
        <x:v>42.9</x:v>
      </x:c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>
      <x:c r="A46" s="2" t="str">
        <x:v>Ошибки вне сезона за неделю</x:v>
      </x:c>
      <x:c r="B46" s="2"/>
      <x:c r="C46" s="6" t="n">
        <x:f>'Расчёт'!$C$23</x:f>
        <x:v>18.59</x:v>
      </x:c>
      <x:c r="D46" s="6" t="n">
        <x:f>'Расчёт'!$C$23</x:f>
        <x:v>18.59</x:v>
      </x:c>
      <x:c r="E46" s="6" t="n">
        <x:f>'Расчёт'!$C$23</x:f>
        <x:v>18.59</x:v>
      </x:c>
      <x:c r="F46" s="6" t="n">
        <x:f>'Расчёт'!$C$23</x:f>
        <x:v>18.59</x:v>
      </x:c>
      <x:c r="G46" s="6" t="n">
        <x:f>'Расчёт'!$C$23</x:f>
        <x:v>18.59</x:v>
      </x:c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>
      <x:c r="A47" s="2" t="str">
        <x:v>Временные люди в пик</x:v>
      </x:c>
      <x:c r="B47" s="2"/>
      <x:c r="C47" s="3" t="n">
        <x:f>'Расчёт'!$C$17</x:f>
        <x:v>0</x:v>
      </x:c>
      <x:c r="D47" s="3" t="n">
        <x:f>'Расчёт'!$C$17</x:f>
        <x:v>0</x:v>
      </x:c>
      <x:c r="E47" s="3" t="n">
        <x:f>'Расчёт'!$C$17</x:f>
        <x:v>0</x:v>
      </x:c>
      <x:c r="F47" s="3" t="n">
        <x:f>'Расчёт'!$C$17</x:f>
        <x:v>0</x:v>
      </x:c>
      <x:c r="G47" s="3" t="n">
        <x:f>'Расчёт'!$C$17</x:f>
        <x:v>0</x:v>
      </x:c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>
      <x:c r="A48" s="2" t="str">
        <x:v>Оплата временных смен</x:v>
      </x:c>
      <x:c r="B48" s="2"/>
      <x:c r="C48" s="3" t="n">
        <x:f>0</x:f>
        <x:v>0</x:v>
      </x:c>
      <x:c r="D48" s="3" t="n">
        <x:f>0</x:f>
        <x:v>0</x:v>
      </x:c>
      <x:c r="E48" s="3" t="n">
        <x:f>0</x:f>
        <x:v>0</x:v>
      </x:c>
      <x:c r="F48" s="3" t="n">
        <x:f>0</x:f>
        <x:v>0</x:v>
      </x:c>
      <x:c r="G48" s="3" t="n">
        <x:f>0</x:f>
        <x:v>0</x:v>
      </x:c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>
      <x:c r="A49" s="2" t="str">
        <x:v>Подбор, обучение, наставник</x:v>
      </x:c>
      <x:c r="B49" s="2"/>
      <x:c r="C49" s="3" t="n">
        <x:f>0</x:f>
        <x:v>0</x:v>
      </x:c>
      <x:c r="D49" s="3" t="n">
        <x:f>0</x:f>
        <x:v>0</x:v>
      </x:c>
      <x:c r="E49" s="3" t="n">
        <x:f>0</x:f>
        <x:v>0</x:v>
      </x:c>
      <x:c r="F49" s="3" t="n">
        <x:f>0</x:f>
        <x:v>0</x:v>
      </x:c>
      <x:c r="G49" s="3" t="n">
        <x:f>0</x:f>
        <x:v>0</x:v>
      </x:c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>
      <x:c r="A50" s="2" t="str">
        <x:v>ФОТ штатных работников</x:v>
      </x:c>
      <x:c r="B50" s="2"/>
      <x:c r="C50" s="3" t="n">
        <x:f>'Расчёт'!$C$33</x:f>
        <x:v>7200000</x:v>
      </x:c>
      <x:c r="D50" s="3" t="n">
        <x:f>'Расчёт'!$C$33</x:f>
        <x:v>7200000</x:v>
      </x:c>
      <x:c r="E50" s="3" t="n">
        <x:f>'Расчёт'!$C$33</x:f>
        <x:v>7200000</x:v>
      </x:c>
      <x:c r="F50" s="3" t="n">
        <x:f>'Расчёт'!$C$33</x:f>
        <x:v>7200000</x:v>
      </x:c>
      <x:c r="G50" s="3" t="n">
        <x:f>'Расчёт'!$C$33</x:f>
        <x:v>7200000</x:v>
      </x:c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>
      <x:c r="A51" s="2" t="str">
        <x:v>Аренда действующего склада</x:v>
      </x:c>
      <x:c r="B51" s="2"/>
      <x:c r="C51" s="3" t="n">
        <x:f>'Расчёт'!$C$34</x:f>
        <x:v>4800000</x:v>
      </x:c>
      <x:c r="D51" s="3" t="n">
        <x:f>'Расчёт'!$C$34</x:f>
        <x:v>4800000</x:v>
      </x:c>
      <x:c r="E51" s="3" t="n">
        <x:f>'Расчёт'!$C$34</x:f>
        <x:v>4800000</x:v>
      </x:c>
      <x:c r="F51" s="3" t="n">
        <x:f>'Расчёт'!$C$34</x:f>
        <x:v>4800000</x:v>
      </x:c>
      <x:c r="G51" s="3" t="n">
        <x:f>'Расчёт'!$C$34</x:f>
        <x:v>4800000</x:v>
      </x:c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>
      <x:c r="A52" s="2" t="str">
        <x:v>Поддержка улучшенного процесса</x:v>
      </x:c>
      <x:c r="B52" s="2"/>
      <x:c r="C52" s="3" t="n">
        <x:f>'Расчёт'!$C$29</x:f>
        <x:v>0</x:v>
      </x:c>
      <x:c r="D52" s="3" t="n">
        <x:f>'Расчёт'!$C$29</x:f>
        <x:v>0</x:v>
      </x:c>
      <x:c r="E52" s="3" t="n">
        <x:f>'Расчёт'!$C$29</x:f>
        <x:v>0</x:v>
      </x:c>
      <x:c r="F52" s="3" t="n">
        <x:f>'Расчёт'!$C$29</x:f>
        <x:v>0</x:v>
      </x:c>
      <x:c r="G52" s="3" t="n">
        <x:f>'Расчёт'!$C$29</x:f>
        <x:v>0</x:v>
      </x:c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>
      <x:c r="A53" s="2" t="str">
        <x:v>Сервис, ПО и энергия участка</x:v>
      </x:c>
      <x:c r="B53" s="2"/>
      <x:c r="C53" s="3" t="n">
        <x:f>0</x:f>
        <x:v>0</x:v>
      </x:c>
      <x:c r="D53" s="3" t="n">
        <x:f>0</x:f>
        <x:v>0</x:v>
      </x:c>
      <x:c r="E53" s="3" t="n">
        <x:f>0</x:f>
        <x:v>0</x:v>
      </x:c>
      <x:c r="F53" s="3" t="n">
        <x:f>0</x:f>
        <x:v>0</x:v>
      </x:c>
      <x:c r="G53" s="3" t="n">
        <x:f>0</x:f>
        <x:v>0</x:v>
      </x:c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>
      <x:c r="A54" s="2" t="str">
        <x:v>Дополнительная площадь участка</x:v>
      </x:c>
      <x:c r="B54" s="2"/>
      <x:c r="C54" s="3" t="n">
        <x:f>0</x:f>
        <x:v>0</x:v>
      </x:c>
      <x:c r="D54" s="3" t="n">
        <x:f>0</x:f>
        <x:v>0</x:v>
      </x:c>
      <x:c r="E54" s="3" t="n">
        <x:f>0</x:f>
        <x:v>0</x:v>
      </x:c>
      <x:c r="F54" s="3" t="n">
        <x:f>0</x:f>
        <x:v>0</x:v>
      </x:c>
      <x:c r="G54" s="3" t="n">
        <x:f>0</x:f>
        <x:v>0</x:v>
      </x:c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>
      <x:c r="A55" s="2" t="str">
        <x:v>Стоимость ошибок</x:v>
      </x:c>
      <x:c r="B55" s="2"/>
      <x:c r="C55" s="3" t="n">
        <x:f>(C45*'Параметры'!$B$8+C46*('Параметры'!$B$9-'Параметры'!$B$8))*'Параметры'!$B$52</x:f>
        <x:v>1451736</x:v>
      </x:c>
      <x:c r="D55" s="3" t="n">
        <x:f>(D45*'Параметры'!$B$8+D46*('Параметры'!$B$9-'Параметры'!$B$8))*'Параметры'!$B$52</x:f>
        <x:v>1451736</x:v>
      </x:c>
      <x:c r="E55" s="3" t="n">
        <x:f>(E45*'Параметры'!$B$8+E46*('Параметры'!$B$9-'Параметры'!$B$8))*'Параметры'!$B$52</x:f>
        <x:v>1451736</x:v>
      </x:c>
      <x:c r="F55" s="3" t="n">
        <x:f>(F45*'Параметры'!$B$8+F46*('Параметры'!$B$9-'Параметры'!$B$8))*'Параметры'!$B$52</x:f>
        <x:v>1451736</x:v>
      </x:c>
      <x:c r="G55" s="3" t="n">
        <x:f>(G45*'Параметры'!$B$8+G46*('Параметры'!$B$9-'Параметры'!$B$8))*'Параметры'!$B$52</x:f>
        <x:v>1451736</x:v>
      </x:c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>
      <x:c r="A56" s="2" t="str">
        <x:v>Поздние строки за год</x:v>
      </x:c>
      <x:c r="B56" s="2"/>
      <x:c r="C56" s="3" t="n">
        <x:f>C43*'Параметры'!$B$8+C44*('Параметры'!$B$9-'Параметры'!$B$8)</x:f>
        <x:v>11500</x:v>
      </x:c>
      <x:c r="D56" s="3" t="n">
        <x:f>D43*'Параметры'!$B$8+D44*('Параметры'!$B$9-'Параметры'!$B$8)</x:f>
        <x:v>11500</x:v>
      </x:c>
      <x:c r="E56" s="3" t="n">
        <x:f>E43*'Параметры'!$B$8+E44*('Параметры'!$B$9-'Параметры'!$B$8)</x:f>
        <x:v>11500</x:v>
      </x:c>
      <x:c r="F56" s="3" t="n">
        <x:f>F43*'Параметры'!$B$8+F44*('Параметры'!$B$9-'Параметры'!$B$8)</x:f>
        <x:v>11500</x:v>
      </x:c>
      <x:c r="G56" s="3" t="n">
        <x:f>G43*'Параметры'!$B$8+G44*('Параметры'!$B$9-'Параметры'!$B$8)</x:f>
        <x:v>11500</x:v>
      </x:c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>
      <x:c r="A57" s="2" t="str">
        <x:v>Стоимость просрочки</x:v>
      </x:c>
      <x:c r="B57" s="2"/>
      <x:c r="C57" s="3" t="n">
        <x:f>C56*'Параметры'!$B$53</x:f>
        <x:v>4600000</x:v>
      </x:c>
      <x:c r="D57" s="3" t="n">
        <x:f>D56*'Параметры'!$B$53</x:f>
        <x:v>4600000</x:v>
      </x:c>
      <x:c r="E57" s="3" t="n">
        <x:f>E56*'Параметры'!$B$53</x:f>
        <x:v>4600000</x:v>
      </x:c>
      <x:c r="F57" s="3" t="n">
        <x:f>F56*'Параметры'!$B$53</x:f>
        <x:v>4600000</x:v>
      </x:c>
      <x:c r="G57" s="3" t="n">
        <x:f>G56*'Параметры'!$B$53</x:f>
        <x:v>4600000</x:v>
      </x:c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>
      <x:c r="A58" s="15" t="str">
        <x:v>Все денежные расходы за год</x:v>
      </x:c>
      <x:c r="B58" s="15"/>
      <x:c r="C58" s="16" t="n">
        <x:f>SUM(C48:C55)+C57</x:f>
        <x:v>18051736</x:v>
      </x:c>
      <x:c r="D58" s="16" t="n">
        <x:f>SUM(D48:D55)+D57</x:f>
        <x:v>18051736</x:v>
      </x:c>
      <x:c r="E58" s="16" t="n">
        <x:f>SUM(E48:E55)+E57</x:f>
        <x:v>18051736</x:v>
      </x:c>
      <x:c r="F58" s="16" t="n">
        <x:f>SUM(F48:F55)+F57</x:f>
        <x:v>18051736</x:v>
      </x:c>
      <x:c r="G58" s="16" t="n">
        <x:f>SUM(G48:G55)+G57</x:f>
        <x:v>18051736</x:v>
      </x:c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>
      <x:c r="A59" s="15" t="str">
        <x:v>Приведённые расходы за год</x:v>
      </x:c>
      <x:c r="B59" s="15"/>
      <x:c r="C59" s="16" t="n">
        <x:f>C58*C$40</x:f>
        <x:v>15834856.140350876</x:v>
      </x:c>
      <x:c r="D59" s="16" t="n">
        <x:f>D58*D$40</x:f>
        <x:v>13890224.684518311</x:v>
      </x:c>
      <x:c r="E59" s="16" t="n">
        <x:f>E58*E$40</x:f>
        <x:v>12184407.617998518</x:v>
      </x:c>
      <x:c r="F59" s="16" t="n">
        <x:f>F58*F$40</x:f>
        <x:v>10688076.857893433</x:v>
      </x:c>
      <x:c r="G59" s="16" t="n">
        <x:f>G58*G$40</x:f>
        <x:v>9375506.015695993</x:v>
      </x:c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>
      <x:c r="A61" s="13" t="str">
        <x:v>Улучшенный процесс</x:v>
      </x:c>
      <x:c r="B61" s="13"/>
      <x:c r="C61" s="13"/>
      <x:c r="D61" s="13"/>
      <x:c r="E61" s="13"/>
      <x:c r="F61" s="13"/>
      <x:c r="G61" s="13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>
      <x:c r="A62" s="2" t="str">
        <x:v>Участок работает</x:v>
      </x:c>
      <x:c r="B62" s="2"/>
      <x:c r="C62" s="2" t="n">
        <x:f>0</x:f>
        <x:v>0</x:v>
      </x:c>
      <x:c r="D62" s="2" t="n">
        <x:f>0</x:f>
        <x:v>0</x:v>
      </x:c>
      <x:c r="E62" s="2" t="n">
        <x:f>0</x:f>
        <x:v>0</x:v>
      </x:c>
      <x:c r="F62" s="2" t="n">
        <x:f>0</x:f>
        <x:v>0</x:v>
      </x:c>
      <x:c r="G62" s="2" t="n">
        <x:f>0</x:f>
        <x:v>0</x:v>
      </x:c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>
      <x:c r="A63" s="2" t="str">
        <x:v>Поздние строки за пиковую неделю</x:v>
      </x:c>
      <x:c r="B63" s="2"/>
      <x:c r="C63" s="3" t="n">
        <x:f>'Расчёт'!$D$19</x:f>
        <x:v>600</x:v>
      </x:c>
      <x:c r="D63" s="3" t="n">
        <x:f>'Расчёт'!$D$19</x:f>
        <x:v>600</x:v>
      </x:c>
      <x:c r="E63" s="3" t="n">
        <x:f>'Расчёт'!$D$19</x:f>
        <x:v>600</x:v>
      </x:c>
      <x:c r="F63" s="3" t="n">
        <x:f>'Расчёт'!$D$19</x:f>
        <x:v>600</x:v>
      </x:c>
      <x:c r="G63" s="3" t="n">
        <x:f>'Расчёт'!$D$19</x:f>
        <x:v>600</x:v>
      </x:c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>
      <x:c r="A64" s="2" t="str">
        <x:v>Поздние строки вне сезона за неделю</x:v>
      </x:c>
      <x:c r="B64" s="2"/>
      <x:c r="C64" s="3" t="n">
        <x:f>'Расчёт'!$D$20</x:f>
        <x:v>0</x:v>
      </x:c>
      <x:c r="D64" s="3" t="n">
        <x:f>'Расчёт'!$D$20</x:f>
        <x:v>0</x:v>
      </x:c>
      <x:c r="E64" s="3" t="n">
        <x:f>'Расчёт'!$D$20</x:f>
        <x:v>0</x:v>
      </x:c>
      <x:c r="F64" s="3" t="n">
        <x:f>'Расчёт'!$D$20</x:f>
        <x:v>0</x:v>
      </x:c>
      <x:c r="G64" s="3" t="n">
        <x:f>'Расчёт'!$D$20</x:f>
        <x:v>0</x:v>
      </x:c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>
      <x:c r="A65" s="2" t="str">
        <x:v>Ошибки за пиковую неделю</x:v>
      </x:c>
      <x:c r="B65" s="2"/>
      <x:c r="C65" s="6" t="n">
        <x:f>'Расчёт'!$D$22</x:f>
        <x:v>27.3</x:v>
      </x:c>
      <x:c r="D65" s="6" t="n">
        <x:f>'Расчёт'!$D$22</x:f>
        <x:v>27.3</x:v>
      </x:c>
      <x:c r="E65" s="6" t="n">
        <x:f>'Расчёт'!$D$22</x:f>
        <x:v>27.3</x:v>
      </x:c>
      <x:c r="F65" s="6" t="n">
        <x:f>'Расчёт'!$D$22</x:f>
        <x:v>27.3</x:v>
      </x:c>
      <x:c r="G65" s="6" t="n">
        <x:f>'Расчёт'!$D$22</x:f>
        <x:v>27.3</x:v>
      </x:c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>
      <x:c r="A66" s="2" t="str">
        <x:v>Ошибки вне сезона за неделю</x:v>
      </x:c>
      <x:c r="B66" s="2"/>
      <x:c r="C66" s="6" t="n">
        <x:f>'Расчёт'!$D$23</x:f>
        <x:v>11.83</x:v>
      </x:c>
      <x:c r="D66" s="6" t="n">
        <x:f>'Расчёт'!$D$23</x:f>
        <x:v>11.83</x:v>
      </x:c>
      <x:c r="E66" s="6" t="n">
        <x:f>'Расчёт'!$D$23</x:f>
        <x:v>11.83</x:v>
      </x:c>
      <x:c r="F66" s="6" t="n">
        <x:f>'Расчёт'!$D$23</x:f>
        <x:v>11.83</x:v>
      </x:c>
      <x:c r="G66" s="6" t="n">
        <x:f>'Расчёт'!$D$23</x:f>
        <x:v>11.83</x:v>
      </x:c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>
      <x:c r="A67" s="2" t="str">
        <x:v>Временные люди в пик</x:v>
      </x:c>
      <x:c r="B67" s="2"/>
      <x:c r="C67" s="3" t="n">
        <x:f>'Расчёт'!$D$17</x:f>
        <x:v>0</x:v>
      </x:c>
      <x:c r="D67" s="3" t="n">
        <x:f>'Расчёт'!$D$17</x:f>
        <x:v>0</x:v>
      </x:c>
      <x:c r="E67" s="3" t="n">
        <x:f>'Расчёт'!$D$17</x:f>
        <x:v>0</x:v>
      </x:c>
      <x:c r="F67" s="3" t="n">
        <x:f>'Расчёт'!$D$17</x:f>
        <x:v>0</x:v>
      </x:c>
      <x:c r="G67" s="3" t="n">
        <x:f>'Расчёт'!$D$17</x:f>
        <x:v>0</x:v>
      </x:c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>
      <x:c r="A68" s="2" t="str">
        <x:v>Оплата временных смен</x:v>
      </x:c>
      <x:c r="B68" s="2"/>
      <x:c r="C68" s="3" t="n">
        <x:f>0</x:f>
        <x:v>0</x:v>
      </x:c>
      <x:c r="D68" s="3" t="n">
        <x:f>0</x:f>
        <x:v>0</x:v>
      </x:c>
      <x:c r="E68" s="3" t="n">
        <x:f>0</x:f>
        <x:v>0</x:v>
      </x:c>
      <x:c r="F68" s="3" t="n">
        <x:f>0</x:f>
        <x:v>0</x:v>
      </x:c>
      <x:c r="G68" s="3" t="n">
        <x:f>0</x:f>
        <x:v>0</x:v>
      </x:c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>
      <x:c r="A69" s="2" t="str">
        <x:v>Подбор, обучение, наставник</x:v>
      </x:c>
      <x:c r="B69" s="2"/>
      <x:c r="C69" s="3" t="n">
        <x:f>0</x:f>
        <x:v>0</x:v>
      </x:c>
      <x:c r="D69" s="3" t="n">
        <x:f>0</x:f>
        <x:v>0</x:v>
      </x:c>
      <x:c r="E69" s="3" t="n">
        <x:f>0</x:f>
        <x:v>0</x:v>
      </x:c>
      <x:c r="F69" s="3" t="n">
        <x:f>0</x:f>
        <x:v>0</x:v>
      </x:c>
      <x:c r="G69" s="3" t="n">
        <x:f>0</x:f>
        <x:v>0</x:v>
      </x:c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>
      <x:c r="A70" s="2" t="str">
        <x:v>ФОТ штатных работников</x:v>
      </x:c>
      <x:c r="B70" s="2"/>
      <x:c r="C70" s="3" t="n">
        <x:f>'Расчёт'!$D$33</x:f>
        <x:v>7200000</x:v>
      </x:c>
      <x:c r="D70" s="3" t="n">
        <x:f>'Расчёт'!$D$33</x:f>
        <x:v>7200000</x:v>
      </x:c>
      <x:c r="E70" s="3" t="n">
        <x:f>'Расчёт'!$D$33</x:f>
        <x:v>7200000</x:v>
      </x:c>
      <x:c r="F70" s="3" t="n">
        <x:f>'Расчёт'!$D$33</x:f>
        <x:v>7200000</x:v>
      </x:c>
      <x:c r="G70" s="3" t="n">
        <x:f>'Расчёт'!$D$33</x:f>
        <x:v>7200000</x:v>
      </x:c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>
      <x:c r="A71" s="2" t="str">
        <x:v>Аренда действующего склада</x:v>
      </x:c>
      <x:c r="B71" s="2"/>
      <x:c r="C71" s="3" t="n">
        <x:f>'Расчёт'!$D$34</x:f>
        <x:v>4800000</x:v>
      </x:c>
      <x:c r="D71" s="3" t="n">
        <x:f>'Расчёт'!$D$34</x:f>
        <x:v>4800000</x:v>
      </x:c>
      <x:c r="E71" s="3" t="n">
        <x:f>'Расчёт'!$D$34</x:f>
        <x:v>4800000</x:v>
      </x:c>
      <x:c r="F71" s="3" t="n">
        <x:f>'Расчёт'!$D$34</x:f>
        <x:v>4800000</x:v>
      </x:c>
      <x:c r="G71" s="3" t="n">
        <x:f>'Расчёт'!$D$34</x:f>
        <x:v>4800000</x:v>
      </x:c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>
      <x:c r="A72" s="2" t="str">
        <x:v>Поддержка улучшенного процесса</x:v>
      </x:c>
      <x:c r="B72" s="2"/>
      <x:c r="C72" s="3" t="n">
        <x:f>'Расчёт'!$D$29</x:f>
        <x:v>150000</x:v>
      </x:c>
      <x:c r="D72" s="3" t="n">
        <x:f>'Расчёт'!$D$29</x:f>
        <x:v>150000</x:v>
      </x:c>
      <x:c r="E72" s="3" t="n">
        <x:f>'Расчёт'!$D$29</x:f>
        <x:v>150000</x:v>
      </x:c>
      <x:c r="F72" s="3" t="n">
        <x:f>'Расчёт'!$D$29</x:f>
        <x:v>150000</x:v>
      </x:c>
      <x:c r="G72" s="3" t="n">
        <x:f>'Расчёт'!$D$29</x:f>
        <x:v>150000</x:v>
      </x:c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>
      <x:c r="A73" s="2" t="str">
        <x:v>Сервис, ПО и энергия участка</x:v>
      </x:c>
      <x:c r="B73" s="2"/>
      <x:c r="C73" s="3" t="n">
        <x:f>0</x:f>
        <x:v>0</x:v>
      </x:c>
      <x:c r="D73" s="3" t="n">
        <x:f>0</x:f>
        <x:v>0</x:v>
      </x:c>
      <x:c r="E73" s="3" t="n">
        <x:f>0</x:f>
        <x:v>0</x:v>
      </x:c>
      <x:c r="F73" s="3" t="n">
        <x:f>0</x:f>
        <x:v>0</x:v>
      </x:c>
      <x:c r="G73" s="3" t="n">
        <x:f>0</x:f>
        <x:v>0</x:v>
      </x:c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>
      <x:c r="A74" s="2" t="str">
        <x:v>Дополнительная площадь участка</x:v>
      </x:c>
      <x:c r="B74" s="2"/>
      <x:c r="C74" s="3" t="n">
        <x:f>0</x:f>
        <x:v>0</x:v>
      </x:c>
      <x:c r="D74" s="3" t="n">
        <x:f>0</x:f>
        <x:v>0</x:v>
      </x:c>
      <x:c r="E74" s="3" t="n">
        <x:f>0</x:f>
        <x:v>0</x:v>
      </x:c>
      <x:c r="F74" s="3" t="n">
        <x:f>0</x:f>
        <x:v>0</x:v>
      </x:c>
      <x:c r="G74" s="3" t="n">
        <x:f>0</x:f>
        <x:v>0</x:v>
      </x:c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>
      <x:c r="A75" s="2" t="str">
        <x:v>Стоимость ошибок</x:v>
      </x:c>
      <x:c r="B75" s="2"/>
      <x:c r="C75" s="3" t="n">
        <x:f>(C65*'Параметры'!$B$8+C66*('Параметры'!$B$9-'Параметры'!$B$8))*'Параметры'!$B$52</x:f>
        <x:v>923832</x:v>
      </x:c>
      <x:c r="D75" s="3" t="n">
        <x:f>(D65*'Параметры'!$B$8+D66*('Параметры'!$B$9-'Параметры'!$B$8))*'Параметры'!$B$52</x:f>
        <x:v>923832</x:v>
      </x:c>
      <x:c r="E75" s="3" t="n">
        <x:f>(E65*'Параметры'!$B$8+E66*('Параметры'!$B$9-'Параметры'!$B$8))*'Параметры'!$B$52</x:f>
        <x:v>923832</x:v>
      </x:c>
      <x:c r="F75" s="3" t="n">
        <x:f>(F65*'Параметры'!$B$8+F66*('Параметры'!$B$9-'Параметры'!$B$8))*'Параметры'!$B$52</x:f>
        <x:v>923832</x:v>
      </x:c>
      <x:c r="G75" s="3" t="n">
        <x:f>(G65*'Параметры'!$B$8+G66*('Параметры'!$B$9-'Параметры'!$B$8))*'Параметры'!$B$52</x:f>
        <x:v>923832</x:v>
      </x:c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>
      <x:c r="A76" s="2" t="str">
        <x:v>Поздние строки за год</x:v>
      </x:c>
      <x:c r="B76" s="2"/>
      <x:c r="C76" s="3" t="n">
        <x:f>C63*'Параметры'!$B$8+C64*('Параметры'!$B$9-'Параметры'!$B$8)</x:f>
        <x:v>6000</x:v>
      </x:c>
      <x:c r="D76" s="3" t="n">
        <x:f>D63*'Параметры'!$B$8+D64*('Параметры'!$B$9-'Параметры'!$B$8)</x:f>
        <x:v>6000</x:v>
      </x:c>
      <x:c r="E76" s="3" t="n">
        <x:f>E63*'Параметры'!$B$8+E64*('Параметры'!$B$9-'Параметры'!$B$8)</x:f>
        <x:v>6000</x:v>
      </x:c>
      <x:c r="F76" s="3" t="n">
        <x:f>F63*'Параметры'!$B$8+F64*('Параметры'!$B$9-'Параметры'!$B$8)</x:f>
        <x:v>6000</x:v>
      </x:c>
      <x:c r="G76" s="3" t="n">
        <x:f>G63*'Параметры'!$B$8+G64*('Параметры'!$B$9-'Параметры'!$B$8)</x:f>
        <x:v>6000</x:v>
      </x:c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>
      <x:c r="A77" s="2" t="str">
        <x:v>Стоимость просрочки</x:v>
      </x:c>
      <x:c r="B77" s="2"/>
      <x:c r="C77" s="3" t="n">
        <x:f>C76*'Параметры'!$B$53</x:f>
        <x:v>2400000</x:v>
      </x:c>
      <x:c r="D77" s="3" t="n">
        <x:f>D76*'Параметры'!$B$53</x:f>
        <x:v>2400000</x:v>
      </x:c>
      <x:c r="E77" s="3" t="n">
        <x:f>E76*'Параметры'!$B$53</x:f>
        <x:v>2400000</x:v>
      </x:c>
      <x:c r="F77" s="3" t="n">
        <x:f>F76*'Параметры'!$B$53</x:f>
        <x:v>2400000</x:v>
      </x:c>
      <x:c r="G77" s="3" t="n">
        <x:f>G76*'Параметры'!$B$53</x:f>
        <x:v>2400000</x:v>
      </x:c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>
      <x:c r="A78" s="15" t="str">
        <x:v>Все денежные расходы за год</x:v>
      </x:c>
      <x:c r="B78" s="15"/>
      <x:c r="C78" s="16" t="n">
        <x:f>SUM(C68:C75)+C77</x:f>
        <x:v>15473832</x:v>
      </x:c>
      <x:c r="D78" s="16" t="n">
        <x:f>SUM(D68:D75)+D77</x:f>
        <x:v>15473832</x:v>
      </x:c>
      <x:c r="E78" s="16" t="n">
        <x:f>SUM(E68:E75)+E77</x:f>
        <x:v>15473832</x:v>
      </x:c>
      <x:c r="F78" s="16" t="n">
        <x:f>SUM(F68:F75)+F77</x:f>
        <x:v>15473832</x:v>
      </x:c>
      <x:c r="G78" s="16" t="n">
        <x:f>SUM(G68:G75)+G77</x:f>
        <x:v>15473832</x:v>
      </x:c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>
      <x:c r="A79" s="15" t="str">
        <x:v>Приведённые расходы за год</x:v>
      </x:c>
      <x:c r="B79" s="15"/>
      <x:c r="C79" s="16" t="n">
        <x:f>C78*C$40</x:f>
        <x:v>13573536.842105262</x:v>
      </x:c>
      <x:c r="D79" s="16" t="n">
        <x:f>D78*D$40</x:f>
        <x:v>11906611.265004614</x:v>
      </x:c>
      <x:c r="E79" s="16" t="n">
        <x:f>E78*E$40</x:f>
        <x:v>10444395.846495276</x:v>
      </x:c>
      <x:c r="F79" s="16" t="n">
        <x:f>F78*F$40</x:f>
        <x:v>9161750.742539713</x:v>
      </x:c>
      <x:c r="G79" s="16" t="n">
        <x:f>G78*G$40</x:f>
        <x:v>8036623.458368168</x:v>
      </x:c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>
      <x:c r="A81" s="13" t="str">
        <x:v>Процесс и временные смены</x:v>
      </x:c>
      <x:c r="B81" s="13"/>
      <x:c r="C81" s="13"/>
      <x:c r="D81" s="13"/>
      <x:c r="E81" s="13"/>
      <x:c r="F81" s="13"/>
      <x:c r="G81" s="13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>
      <x:c r="A82" s="2" t="str">
        <x:v>Участок работает</x:v>
      </x:c>
      <x:c r="B82" s="2"/>
      <x:c r="C82" s="2" t="n">
        <x:f>0</x:f>
        <x:v>0</x:v>
      </x:c>
      <x:c r="D82" s="2" t="n">
        <x:f>0</x:f>
        <x:v>0</x:v>
      </x:c>
      <x:c r="E82" s="2" t="n">
        <x:f>0</x:f>
        <x:v>0</x:v>
      </x:c>
      <x:c r="F82" s="2" t="n">
        <x:f>0</x:f>
        <x:v>0</x:v>
      </x:c>
      <x:c r="G82" s="2" t="n">
        <x:f>0</x:f>
        <x:v>0</x:v>
      </x:c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>
      <x:c r="A83" s="2" t="str">
        <x:v>Поздние строки за пиковую неделю</x:v>
      </x:c>
      <x:c r="B83" s="2"/>
      <x:c r="C83" s="3" t="n">
        <x:f>'Расчёт'!$E$19</x:f>
        <x:v>0</x:v>
      </x:c>
      <x:c r="D83" s="3" t="n">
        <x:f>'Расчёт'!$E$19</x:f>
        <x:v>0</x:v>
      </x:c>
      <x:c r="E83" s="3" t="n">
        <x:f>'Расчёт'!$E$19</x:f>
        <x:v>0</x:v>
      </x:c>
      <x:c r="F83" s="3" t="n">
        <x:f>'Расчёт'!$E$19</x:f>
        <x:v>0</x:v>
      </x:c>
      <x:c r="G83" s="3" t="n">
        <x:f>'Расчёт'!$E$19</x:f>
        <x:v>0</x:v>
      </x:c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>
      <x:c r="A84" s="2" t="str">
        <x:v>Поздние строки вне сезона за неделю</x:v>
      </x:c>
      <x:c r="B84" s="2"/>
      <x:c r="C84" s="3" t="n">
        <x:f>'Расчёт'!$E$20</x:f>
        <x:v>0</x:v>
      </x:c>
      <x:c r="D84" s="3" t="n">
        <x:f>'Расчёт'!$E$20</x:f>
        <x:v>0</x:v>
      </x:c>
      <x:c r="E84" s="3" t="n">
        <x:f>'Расчёт'!$E$20</x:f>
        <x:v>0</x:v>
      </x:c>
      <x:c r="F84" s="3" t="n">
        <x:f>'Расчёт'!$E$20</x:f>
        <x:v>0</x:v>
      </x:c>
      <x:c r="G84" s="3" t="n">
        <x:f>'Расчёт'!$E$20</x:f>
        <x:v>0</x:v>
      </x:c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>
      <x:c r="A85" s="2" t="str">
        <x:v>Ошибки за пиковую неделю</x:v>
      </x:c>
      <x:c r="B85" s="2"/>
      <x:c r="C85" s="6" t="n">
        <x:f>'Расчёт'!$E$22</x:f>
        <x:v>30.9</x:v>
      </x:c>
      <x:c r="D85" s="6" t="n">
        <x:f>'Расчёт'!$E$22</x:f>
        <x:v>30.9</x:v>
      </x:c>
      <x:c r="E85" s="6" t="n">
        <x:f>'Расчёт'!$E$22</x:f>
        <x:v>30.9</x:v>
      </x:c>
      <x:c r="F85" s="6" t="n">
        <x:f>'Расчёт'!$E$22</x:f>
        <x:v>30.9</x:v>
      </x:c>
      <x:c r="G85" s="6" t="n">
        <x:f>'Расчёт'!$E$22</x:f>
        <x:v>30.9</x:v>
      </x:c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>
      <x:c r="A86" s="2" t="str">
        <x:v>Ошибки вне сезона за неделю</x:v>
      </x:c>
      <x:c r="B86" s="2"/>
      <x:c r="C86" s="6" t="n">
        <x:f>'Расчёт'!$E$23</x:f>
        <x:v>11.83</x:v>
      </x:c>
      <x:c r="D86" s="6" t="n">
        <x:f>'Расчёт'!$E$23</x:f>
        <x:v>11.83</x:v>
      </x:c>
      <x:c r="E86" s="6" t="n">
        <x:f>'Расчёт'!$E$23</x:f>
        <x:v>11.83</x:v>
      </x:c>
      <x:c r="F86" s="6" t="n">
        <x:f>'Расчёт'!$E$23</x:f>
        <x:v>11.83</x:v>
      </x:c>
      <x:c r="G86" s="6" t="n">
        <x:f>'Расчёт'!$E$23</x:f>
        <x:v>11.83</x:v>
      </x:c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>
      <x:c r="A87" s="2" t="str">
        <x:v>Временные люди в пик</x:v>
      </x:c>
      <x:c r="B87" s="2"/>
      <x:c r="C87" s="3" t="n">
        <x:f>'Расчёт'!$E$17</x:f>
        <x:v>2</x:v>
      </x:c>
      <x:c r="D87" s="3" t="n">
        <x:f>'Расчёт'!$E$17</x:f>
        <x:v>2</x:v>
      </x:c>
      <x:c r="E87" s="3" t="n">
        <x:f>'Расчёт'!$E$17</x:f>
        <x:v>2</x:v>
      </x:c>
      <x:c r="F87" s="3" t="n">
        <x:f>'Расчёт'!$E$17</x:f>
        <x:v>2</x:v>
      </x:c>
      <x:c r="G87" s="3" t="n">
        <x:f>'Расчёт'!$E$17</x:f>
        <x:v>2</x:v>
      </x:c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>
      <x:c r="A88" s="2" t="str">
        <x:v>Оплата временных смен</x:v>
      </x:c>
      <x:c r="B88" s="2"/>
      <x:c r="C88" s="3" t="n">
        <x:f>'Расчёт'!$E$26*'Параметры'!$B$8</x:f>
        <x:v>432000</x:v>
      </x:c>
      <x:c r="D88" s="3" t="n">
        <x:f>'Расчёт'!$E$26*'Параметры'!$B$8</x:f>
        <x:v>432000</x:v>
      </x:c>
      <x:c r="E88" s="3" t="n">
        <x:f>'Расчёт'!$E$26*'Параметры'!$B$8</x:f>
        <x:v>432000</x:v>
      </x:c>
      <x:c r="F88" s="3" t="n">
        <x:f>'Расчёт'!$E$26*'Параметры'!$B$8</x:f>
        <x:v>432000</x:v>
      </x:c>
      <x:c r="G88" s="3" t="n">
        <x:f>'Расчёт'!$E$26*'Параметры'!$B$8</x:f>
        <x:v>432000</x:v>
      </x:c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>
      <x:c r="A89" s="2" t="str">
        <x:v>Подбор, обучение, наставник</x:v>
      </x:c>
      <x:c r="B89" s="2"/>
      <x:c r="C89" s="3" t="n">
        <x:f>'Расчёт'!$E$27</x:f>
        <x:v>89200</x:v>
      </x:c>
      <x:c r="D89" s="3" t="n">
        <x:f>'Расчёт'!$E$27</x:f>
        <x:v>89200</x:v>
      </x:c>
      <x:c r="E89" s="3" t="n">
        <x:f>'Расчёт'!$E$27</x:f>
        <x:v>89200</x:v>
      </x:c>
      <x:c r="F89" s="3" t="n">
        <x:f>'Расчёт'!$E$27</x:f>
        <x:v>89200</x:v>
      </x:c>
      <x:c r="G89" s="3" t="n">
        <x:f>'Расчёт'!$E$27</x:f>
        <x:v>89200</x:v>
      </x:c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>
      <x:c r="A90" s="2" t="str">
        <x:v>ФОТ штатных работников</x:v>
      </x:c>
      <x:c r="B90" s="2"/>
      <x:c r="C90" s="3" t="n">
        <x:f>'Расчёт'!$E$33</x:f>
        <x:v>7200000</x:v>
      </x:c>
      <x:c r="D90" s="3" t="n">
        <x:f>'Расчёт'!$E$33</x:f>
        <x:v>7200000</x:v>
      </x:c>
      <x:c r="E90" s="3" t="n">
        <x:f>'Расчёт'!$E$33</x:f>
        <x:v>7200000</x:v>
      </x:c>
      <x:c r="F90" s="3" t="n">
        <x:f>'Расчёт'!$E$33</x:f>
        <x:v>7200000</x:v>
      </x:c>
      <x:c r="G90" s="3" t="n">
        <x:f>'Расчёт'!$E$33</x:f>
        <x:v>7200000</x:v>
      </x:c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>
      <x:c r="A91" s="2" t="str">
        <x:v>Аренда действующего склада</x:v>
      </x:c>
      <x:c r="B91" s="2"/>
      <x:c r="C91" s="3" t="n">
        <x:f>'Расчёт'!$E$34</x:f>
        <x:v>4800000</x:v>
      </x:c>
      <x:c r="D91" s="3" t="n">
        <x:f>'Расчёт'!$E$34</x:f>
        <x:v>4800000</x:v>
      </x:c>
      <x:c r="E91" s="3" t="n">
        <x:f>'Расчёт'!$E$34</x:f>
        <x:v>4800000</x:v>
      </x:c>
      <x:c r="F91" s="3" t="n">
        <x:f>'Расчёт'!$E$34</x:f>
        <x:v>4800000</x:v>
      </x:c>
      <x:c r="G91" s="3" t="n">
        <x:f>'Расчёт'!$E$34</x:f>
        <x:v>4800000</x:v>
      </x:c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>
      <x:c r="A92" s="2" t="str">
        <x:v>Поддержка улучшенного процесса</x:v>
      </x:c>
      <x:c r="B92" s="2"/>
      <x:c r="C92" s="3" t="n">
        <x:f>'Расчёт'!$E$29</x:f>
        <x:v>150000</x:v>
      </x:c>
      <x:c r="D92" s="3" t="n">
        <x:f>'Расчёт'!$E$29</x:f>
        <x:v>150000</x:v>
      </x:c>
      <x:c r="E92" s="3" t="n">
        <x:f>'Расчёт'!$E$29</x:f>
        <x:v>150000</x:v>
      </x:c>
      <x:c r="F92" s="3" t="n">
        <x:f>'Расчёт'!$E$29</x:f>
        <x:v>150000</x:v>
      </x:c>
      <x:c r="G92" s="3" t="n">
        <x:f>'Расчёт'!$E$29</x:f>
        <x:v>150000</x:v>
      </x:c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>
      <x:c r="A93" s="2" t="str">
        <x:v>Сервис, ПО и энергия участка</x:v>
      </x:c>
      <x:c r="B93" s="2"/>
      <x:c r="C93" s="3" t="n">
        <x:f>0</x:f>
        <x:v>0</x:v>
      </x:c>
      <x:c r="D93" s="3" t="n">
        <x:f>0</x:f>
        <x:v>0</x:v>
      </x:c>
      <x:c r="E93" s="3" t="n">
        <x:f>0</x:f>
        <x:v>0</x:v>
      </x:c>
      <x:c r="F93" s="3" t="n">
        <x:f>0</x:f>
        <x:v>0</x:v>
      </x:c>
      <x:c r="G93" s="3" t="n">
        <x:f>0</x:f>
        <x:v>0</x:v>
      </x:c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>
      <x:c r="A94" s="2" t="str">
        <x:v>Дополнительная площадь участка</x:v>
      </x:c>
      <x:c r="B94" s="2"/>
      <x:c r="C94" s="3" t="n">
        <x:f>0</x:f>
        <x:v>0</x:v>
      </x:c>
      <x:c r="D94" s="3" t="n">
        <x:f>0</x:f>
        <x:v>0</x:v>
      </x:c>
      <x:c r="E94" s="3" t="n">
        <x:f>0</x:f>
        <x:v>0</x:v>
      </x:c>
      <x:c r="F94" s="3" t="n">
        <x:f>0</x:f>
        <x:v>0</x:v>
      </x:c>
      <x:c r="G94" s="3" t="n">
        <x:f>0</x:f>
        <x:v>0</x:v>
      </x:c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>
      <x:c r="A95" s="2" t="str">
        <x:v>Стоимость ошибок</x:v>
      </x:c>
      <x:c r="B95" s="2"/>
      <x:c r="C95" s="3" t="n">
        <x:f>(C85*'Параметры'!$B$8+C86*('Параметры'!$B$9-'Параметры'!$B$8))*'Параметры'!$B$52</x:f>
        <x:v>967032</x:v>
      </x:c>
      <x:c r="D95" s="3" t="n">
        <x:f>(D85*'Параметры'!$B$8+D86*('Параметры'!$B$9-'Параметры'!$B$8))*'Параметры'!$B$52</x:f>
        <x:v>967032</x:v>
      </x:c>
      <x:c r="E95" s="3" t="n">
        <x:f>(E85*'Параметры'!$B$8+E86*('Параметры'!$B$9-'Параметры'!$B$8))*'Параметры'!$B$52</x:f>
        <x:v>967032</x:v>
      </x:c>
      <x:c r="F95" s="3" t="n">
        <x:f>(F85*'Параметры'!$B$8+F86*('Параметры'!$B$9-'Параметры'!$B$8))*'Параметры'!$B$52</x:f>
        <x:v>967032</x:v>
      </x:c>
      <x:c r="G95" s="3" t="n">
        <x:f>(G85*'Параметры'!$B$8+G86*('Параметры'!$B$9-'Параметры'!$B$8))*'Параметры'!$B$52</x:f>
        <x:v>967032</x:v>
      </x:c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>
      <x:c r="A96" s="2" t="str">
        <x:v>Поздние строки за год</x:v>
      </x:c>
      <x:c r="B96" s="2"/>
      <x:c r="C96" s="3" t="n">
        <x:f>C83*'Параметры'!$B$8+C84*('Параметры'!$B$9-'Параметры'!$B$8)</x:f>
        <x:v>0</x:v>
      </x:c>
      <x:c r="D96" s="3" t="n">
        <x:f>D83*'Параметры'!$B$8+D84*('Параметры'!$B$9-'Параметры'!$B$8)</x:f>
        <x:v>0</x:v>
      </x:c>
      <x:c r="E96" s="3" t="n">
        <x:f>E83*'Параметры'!$B$8+E84*('Параметры'!$B$9-'Параметры'!$B$8)</x:f>
        <x:v>0</x:v>
      </x:c>
      <x:c r="F96" s="3" t="n">
        <x:f>F83*'Параметры'!$B$8+F84*('Параметры'!$B$9-'Параметры'!$B$8)</x:f>
        <x:v>0</x:v>
      </x:c>
      <x:c r="G96" s="3" t="n">
        <x:f>G83*'Параметры'!$B$8+G84*('Параметры'!$B$9-'Параметры'!$B$8)</x:f>
        <x:v>0</x:v>
      </x:c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>
      <x:c r="A97" s="2" t="str">
        <x:v>Стоимость просрочки</x:v>
      </x:c>
      <x:c r="B97" s="2"/>
      <x:c r="C97" s="3" t="n">
        <x:f>C96*'Параметры'!$B$53</x:f>
        <x:v>0</x:v>
      </x:c>
      <x:c r="D97" s="3" t="n">
        <x:f>D96*'Параметры'!$B$53</x:f>
        <x:v>0</x:v>
      </x:c>
      <x:c r="E97" s="3" t="n">
        <x:f>E96*'Параметры'!$B$53</x:f>
        <x:v>0</x:v>
      </x:c>
      <x:c r="F97" s="3" t="n">
        <x:f>F96*'Параметры'!$B$53</x:f>
        <x:v>0</x:v>
      </x:c>
      <x:c r="G97" s="3" t="n">
        <x:f>G96*'Параметры'!$B$53</x:f>
        <x:v>0</x:v>
      </x:c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>
      <x:c r="A98" s="15" t="str">
        <x:v>Все денежные расходы за год</x:v>
      </x:c>
      <x:c r="B98" s="15"/>
      <x:c r="C98" s="16" t="n">
        <x:f>SUM(C88:C95)+C97</x:f>
        <x:v>13638232</x:v>
      </x:c>
      <x:c r="D98" s="16" t="n">
        <x:f>SUM(D88:D95)+D97</x:f>
        <x:v>13638232</x:v>
      </x:c>
      <x:c r="E98" s="16" t="n">
        <x:f>SUM(E88:E95)+E97</x:f>
        <x:v>13638232</x:v>
      </x:c>
      <x:c r="F98" s="16" t="n">
        <x:f>SUM(F88:F95)+F97</x:f>
        <x:v>13638232</x:v>
      </x:c>
      <x:c r="G98" s="16" t="n">
        <x:f>SUM(G88:G95)+G97</x:f>
        <x:v>13638232</x:v>
      </x:c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>
      <x:c r="A99" s="15" t="str">
        <x:v>Приведённые расходы за год</x:v>
      </x:c>
      <x:c r="B99" s="15"/>
      <x:c r="C99" s="16" t="n">
        <x:f>C98*C$40</x:f>
        <x:v>11963361.403508771</x:v>
      </x:c>
      <x:c r="D99" s="16" t="n">
        <x:f>D98*D$40</x:f>
        <x:v>10494176.669744534</x:v>
      </x:c>
      <x:c r="E99" s="16" t="n">
        <x:f>E98*E$40</x:f>
        <x:v>9205418.131354855</x:v>
      </x:c>
      <x:c r="F99" s="16" t="n">
        <x:f>F98*F$40</x:f>
        <x:v>8074928.185398993</x:v>
      </x:c>
      <x:c r="G99" s="16" t="n">
        <x:f>G98*G$40</x:f>
        <x:v>7083270.338069292</x:v>
      </x:c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>
      <x:c r="A101" s="13" t="str">
        <x:v>Процесс и роботизированный участок</x:v>
      </x:c>
      <x:c r="B101" s="13"/>
      <x:c r="C101" s="13"/>
      <x:c r="D101" s="13"/>
      <x:c r="E101" s="13"/>
      <x:c r="F101" s="13"/>
      <x:c r="G101" s="13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>
      <x:c r="A102" s="2" t="str">
        <x:v>Участок работает</x:v>
      </x:c>
      <x:c r="B102" s="2"/>
      <x:c r="C102" s="2" t="n">
        <x:f>IF(AND(C$39&lt;='Параметры'!$B$46,OR(C$39&gt;1,'Расчёт'!$F$35=1)),1,0)</x:f>
        <x:v>1</x:v>
      </x:c>
      <x:c r="D102" s="2" t="n">
        <x:f>IF(AND(D$39&lt;='Параметры'!$B$46,OR(D$39&gt;1,'Расчёт'!$F$35=1)),1,0)</x:f>
        <x:v>1</x:v>
      </x:c>
      <x:c r="E102" s="2" t="n">
        <x:f>IF(AND(E$39&lt;='Параметры'!$B$46,OR(E$39&gt;1,'Расчёт'!$F$35=1)),1,0)</x:f>
        <x:v>1</x:v>
      </x:c>
      <x:c r="F102" s="2" t="n">
        <x:f>IF(AND(F$39&lt;='Параметры'!$B$46,OR(F$39&gt;1,'Расчёт'!$F$35=1)),1,0)</x:f>
        <x:v>1</x:v>
      </x:c>
      <x:c r="G102" s="2" t="n">
        <x:f>IF(AND(G$39&lt;='Параметры'!$B$46,OR(G$39&gt;1,'Расчёт'!$F$35=1)),1,0)</x:f>
        <x:v>1</x:v>
      </x:c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>
      <x:c r="A103" s="2" t="str">
        <x:v>Поздние строки за пиковую неделю</x:v>
      </x:c>
      <x:c r="B103" s="2"/>
      <x:c r="C103" s="3" t="n">
        <x:f>IF(C102=1,'Расчёт'!$F$19,'Расчёт'!$D$19)</x:f>
        <x:v>0</x:v>
      </x:c>
      <x:c r="D103" s="3" t="n">
        <x:f>IF(D102=1,'Расчёт'!$F$19,'Расчёт'!$D$19)</x:f>
        <x:v>0</x:v>
      </x:c>
      <x:c r="E103" s="3" t="n">
        <x:f>IF(E102=1,'Расчёт'!$F$19,'Расчёт'!$D$19)</x:f>
        <x:v>0</x:v>
      </x:c>
      <x:c r="F103" s="3" t="n">
        <x:f>IF(F102=1,'Расчёт'!$F$19,'Расчёт'!$D$19)</x:f>
        <x:v>0</x:v>
      </x:c>
      <x:c r="G103" s="3" t="n">
        <x:f>IF(G102=1,'Расчёт'!$F$19,'Расчёт'!$D$19)</x:f>
        <x:v>0</x:v>
      </x:c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>
      <x:c r="A104" s="2" t="str">
        <x:v>Поздние строки вне сезона за неделю</x:v>
      </x:c>
      <x:c r="B104" s="2"/>
      <x:c r="C104" s="3" t="n">
        <x:f>IF(C102=1,'Расчёт'!$F$20,'Расчёт'!$D$20)</x:f>
        <x:v>0</x:v>
      </x:c>
      <x:c r="D104" s="3" t="n">
        <x:f>IF(D102=1,'Расчёт'!$F$20,'Расчёт'!$D$20)</x:f>
        <x:v>0</x:v>
      </x:c>
      <x:c r="E104" s="3" t="n">
        <x:f>IF(E102=1,'Расчёт'!$F$20,'Расчёт'!$D$20)</x:f>
        <x:v>0</x:v>
      </x:c>
      <x:c r="F104" s="3" t="n">
        <x:f>IF(F102=1,'Расчёт'!$F$20,'Расчёт'!$D$20)</x:f>
        <x:v>0</x:v>
      </x:c>
      <x:c r="G104" s="3" t="n">
        <x:f>IF(G102=1,'Расчёт'!$F$20,'Расчёт'!$D$20)</x:f>
        <x:v>0</x:v>
      </x:c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>
      <x:c r="A105" s="2" t="str">
        <x:v>Ошибки за пиковую неделю</x:v>
      </x:c>
      <x:c r="B105" s="2"/>
      <x:c r="C105" s="6" t="n">
        <x:f>IF(C102=1,'Расчёт'!$F$22,'Расчёт'!$D$22)</x:f>
        <x:v>19.656</x:v>
      </x:c>
      <x:c r="D105" s="6" t="n">
        <x:f>IF(D102=1,'Расчёт'!$F$22,'Расчёт'!$D$22)</x:f>
        <x:v>19.656</x:v>
      </x:c>
      <x:c r="E105" s="6" t="n">
        <x:f>IF(E102=1,'Расчёт'!$F$22,'Расчёт'!$D$22)</x:f>
        <x:v>19.656</x:v>
      </x:c>
      <x:c r="F105" s="6" t="n">
        <x:f>IF(F102=1,'Расчёт'!$F$22,'Расчёт'!$D$22)</x:f>
        <x:v>19.656</x:v>
      </x:c>
      <x:c r="G105" s="6" t="n">
        <x:f>IF(G102=1,'Расчёт'!$F$22,'Расчёт'!$D$22)</x:f>
        <x:v>19.656</x:v>
      </x:c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>
      <x:c r="A106" s="2" t="str">
        <x:v>Ошибки вне сезона за неделю</x:v>
      </x:c>
      <x:c r="B106" s="2"/>
      <x:c r="C106" s="6" t="n">
        <x:f>IF(C102=1,'Расчёт'!$F$23,'Расчёт'!$D$23)</x:f>
        <x:v>9.3625</x:v>
      </x:c>
      <x:c r="D106" s="6" t="n">
        <x:f>IF(D102=1,'Расчёт'!$F$23,'Расчёт'!$D$23)</x:f>
        <x:v>9.3625</x:v>
      </x:c>
      <x:c r="E106" s="6" t="n">
        <x:f>IF(E102=1,'Расчёт'!$F$23,'Расчёт'!$D$23)</x:f>
        <x:v>9.3625</x:v>
      </x:c>
      <x:c r="F106" s="6" t="n">
        <x:f>IF(F102=1,'Расчёт'!$F$23,'Расчёт'!$D$23)</x:f>
        <x:v>9.3625</x:v>
      </x:c>
      <x:c r="G106" s="6" t="n">
        <x:f>IF(G102=1,'Расчёт'!$F$23,'Расчёт'!$D$23)</x:f>
        <x:v>9.3625</x:v>
      </x:c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>
      <x:c r="A107" s="2" t="str">
        <x:v>Временные люди в пик</x:v>
      </x:c>
      <x:c r="B107" s="2"/>
      <x:c r="C107" s="3" t="n">
        <x:f>IF(C102=1,'Расчёт'!$F$17,0)</x:f>
        <x:v>0</x:v>
      </x:c>
      <x:c r="D107" s="3" t="n">
        <x:f>IF(D102=1,'Расчёт'!$F$17,0)</x:f>
        <x:v>0</x:v>
      </x:c>
      <x:c r="E107" s="3" t="n">
        <x:f>IF(E102=1,'Расчёт'!$F$17,0)</x:f>
        <x:v>0</x:v>
      </x:c>
      <x:c r="F107" s="3" t="n">
        <x:f>IF(F102=1,'Расчёт'!$F$17,0)</x:f>
        <x:v>0</x:v>
      </x:c>
      <x:c r="G107" s="3" t="n">
        <x:f>IF(G102=1,'Расчёт'!$F$17,0)</x:f>
        <x:v>0</x:v>
      </x:c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>
      <x:c r="A108" s="2" t="str">
        <x:v>Оплата временных смен</x:v>
      </x:c>
      <x:c r="B108" s="2"/>
      <x:c r="C108" s="3" t="n">
        <x:f>IF(C102=1,'Расчёт'!$F$26*'Параметры'!$B$8,0)</x:f>
        <x:v>0</x:v>
      </x:c>
      <x:c r="D108" s="3" t="n">
        <x:f>IF(D102=1,'Расчёт'!$F$26*'Параметры'!$B$8,0)</x:f>
        <x:v>0</x:v>
      </x:c>
      <x:c r="E108" s="3" t="n">
        <x:f>IF(E102=1,'Расчёт'!$F$26*'Параметры'!$B$8,0)</x:f>
        <x:v>0</x:v>
      </x:c>
      <x:c r="F108" s="3" t="n">
        <x:f>IF(F102=1,'Расчёт'!$F$26*'Параметры'!$B$8,0)</x:f>
        <x:v>0</x:v>
      </x:c>
      <x:c r="G108" s="3" t="n">
        <x:f>IF(G102=1,'Расчёт'!$F$26*'Параметры'!$B$8,0)</x:f>
        <x:v>0</x:v>
      </x:c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>
      <x:c r="A109" s="2" t="str">
        <x:v>Подбор, обучение, наставник</x:v>
      </x:c>
      <x:c r="B109" s="2"/>
      <x:c r="C109" s="3" t="n">
        <x:f>IF(C102=1,'Расчёт'!$F$27,0)</x:f>
        <x:v>0</x:v>
      </x:c>
      <x:c r="D109" s="3" t="n">
        <x:f>IF(D102=1,'Расчёт'!$F$27,0)</x:f>
        <x:v>0</x:v>
      </x:c>
      <x:c r="E109" s="3" t="n">
        <x:f>IF(E102=1,'Расчёт'!$F$27,0)</x:f>
        <x:v>0</x:v>
      </x:c>
      <x:c r="F109" s="3" t="n">
        <x:f>IF(F102=1,'Расчёт'!$F$27,0)</x:f>
        <x:v>0</x:v>
      </x:c>
      <x:c r="G109" s="3" t="n">
        <x:f>IF(G102=1,'Расчёт'!$F$27,0)</x:f>
        <x:v>0</x:v>
      </x:c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>
      <x:c r="A110" s="2" t="str">
        <x:v>ФОТ штатных работников</x:v>
      </x:c>
      <x:c r="B110" s="2"/>
      <x:c r="C110" s="3" t="n">
        <x:f>'Расчёт'!$F$33</x:f>
        <x:v>7200000</x:v>
      </x:c>
      <x:c r="D110" s="3" t="n">
        <x:f>'Расчёт'!$F$33</x:f>
        <x:v>7200000</x:v>
      </x:c>
      <x:c r="E110" s="3" t="n">
        <x:f>'Расчёт'!$F$33</x:f>
        <x:v>7200000</x:v>
      </x:c>
      <x:c r="F110" s="3" t="n">
        <x:f>'Расчёт'!$F$33</x:f>
        <x:v>7200000</x:v>
      </x:c>
      <x:c r="G110" s="3" t="n">
        <x:f>'Расчёт'!$F$33</x:f>
        <x:v>7200000</x:v>
      </x:c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>
      <x:c r="A111" s="2" t="str">
        <x:v>Аренда действующего склада</x:v>
      </x:c>
      <x:c r="B111" s="2"/>
      <x:c r="C111" s="3" t="n">
        <x:f>'Расчёт'!$F$34</x:f>
        <x:v>4800000</x:v>
      </x:c>
      <x:c r="D111" s="3" t="n">
        <x:f>'Расчёт'!$F$34</x:f>
        <x:v>4800000</x:v>
      </x:c>
      <x:c r="E111" s="3" t="n">
        <x:f>'Расчёт'!$F$34</x:f>
        <x:v>4800000</x:v>
      </x:c>
      <x:c r="F111" s="3" t="n">
        <x:f>'Расчёт'!$F$34</x:f>
        <x:v>4800000</x:v>
      </x:c>
      <x:c r="G111" s="3" t="n">
        <x:f>'Расчёт'!$F$34</x:f>
        <x:v>4800000</x:v>
      </x:c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</x:row>
    <x:row r="112">
      <x:c r="A112" s="2" t="str">
        <x:v>Поддержка улучшенного процесса</x:v>
      </x:c>
      <x:c r="B112" s="2"/>
      <x:c r="C112" s="3" t="n">
        <x:f>'Расчёт'!$F$29</x:f>
        <x:v>150000</x:v>
      </x:c>
      <x:c r="D112" s="3" t="n">
        <x:f>'Расчёт'!$F$29</x:f>
        <x:v>150000</x:v>
      </x:c>
      <x:c r="E112" s="3" t="n">
        <x:f>'Расчёт'!$F$29</x:f>
        <x:v>150000</x:v>
      </x:c>
      <x:c r="F112" s="3" t="n">
        <x:f>'Расчёт'!$F$29</x:f>
        <x:v>150000</x:v>
      </x:c>
      <x:c r="G112" s="3" t="n">
        <x:f>'Расчёт'!$F$29</x:f>
        <x:v>150000</x:v>
      </x:c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</x:row>
    <x:row r="113">
      <x:c r="A113" s="2" t="str">
        <x:v>Сервис, ПО и энергия участка</x:v>
      </x:c>
      <x:c r="B113" s="2"/>
      <x:c r="C113" s="3" t="n">
        <x:f>IF(C102=1,'Расчёт'!$F$30,0)</x:f>
        <x:v>800000</x:v>
      </x:c>
      <x:c r="D113" s="3" t="n">
        <x:f>IF(D102=1,'Расчёт'!$F$30,0)</x:f>
        <x:v>800000</x:v>
      </x:c>
      <x:c r="E113" s="3" t="n">
        <x:f>IF(E102=1,'Расчёт'!$F$30,0)</x:f>
        <x:v>800000</x:v>
      </x:c>
      <x:c r="F113" s="3" t="n">
        <x:f>IF(F102=1,'Расчёт'!$F$30,0)</x:f>
        <x:v>800000</x:v>
      </x:c>
      <x:c r="G113" s="3" t="n">
        <x:f>IF(G102=1,'Расчёт'!$F$30,0)</x:f>
        <x:v>800000</x:v>
      </x:c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</x:row>
    <x:row r="114">
      <x:c r="A114" s="2" t="str">
        <x:v>Дополнительная площадь участка</x:v>
      </x:c>
      <x:c r="B114" s="2"/>
      <x:c r="C114" s="3" t="n">
        <x:f>'Расчёт'!$F$32</x:f>
        <x:v>216000</x:v>
      </x:c>
      <x:c r="D114" s="3" t="n">
        <x:f>'Расчёт'!$F$32</x:f>
        <x:v>216000</x:v>
      </x:c>
      <x:c r="E114" s="3" t="n">
        <x:f>'Расчёт'!$F$32</x:f>
        <x:v>216000</x:v>
      </x:c>
      <x:c r="F114" s="3" t="n">
        <x:f>'Расчёт'!$F$32</x:f>
        <x:v>216000</x:v>
      </x:c>
      <x:c r="G114" s="3" t="n">
        <x:f>'Расчёт'!$F$32</x:f>
        <x:v>216000</x:v>
      </x:c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</x:row>
    <x:row r="115">
      <x:c r="A115" s="2" t="str">
        <x:v>Стоимость ошибок</x:v>
      </x:c>
      <x:c r="B115" s="2"/>
      <x:c r="C115" s="3" t="n">
        <x:f>(C105*'Параметры'!$B$8+C106*('Параметры'!$B$9-'Параметры'!$B$8))*'Параметры'!$B$52</x:f>
        <x:v>707742.0000000001</x:v>
      </x:c>
      <x:c r="D115" s="3" t="n">
        <x:f>(D105*'Параметры'!$B$8+D106*('Параметры'!$B$9-'Параметры'!$B$8))*'Параметры'!$B$52</x:f>
        <x:v>707742.0000000001</x:v>
      </x:c>
      <x:c r="E115" s="3" t="n">
        <x:f>(E105*'Параметры'!$B$8+E106*('Параметры'!$B$9-'Параметры'!$B$8))*'Параметры'!$B$52</x:f>
        <x:v>707742.0000000001</x:v>
      </x:c>
      <x:c r="F115" s="3" t="n">
        <x:f>(F105*'Параметры'!$B$8+F106*('Параметры'!$B$9-'Параметры'!$B$8))*'Параметры'!$B$52</x:f>
        <x:v>707742.0000000001</x:v>
      </x:c>
      <x:c r="G115" s="3" t="n">
        <x:f>(G105*'Параметры'!$B$8+G106*('Параметры'!$B$9-'Параметры'!$B$8))*'Параметры'!$B$52</x:f>
        <x:v>707742.0000000001</x:v>
      </x:c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</x:row>
    <x:row r="116">
      <x:c r="A116" s="2" t="str">
        <x:v>Поздние строки за год</x:v>
      </x:c>
      <x:c r="B116" s="2"/>
      <x:c r="C116" s="3" t="n">
        <x:f>C103*'Параметры'!$B$8+C104*('Параметры'!$B$9-'Параметры'!$B$8)</x:f>
        <x:v>0</x:v>
      </x:c>
      <x:c r="D116" s="3" t="n">
        <x:f>D103*'Параметры'!$B$8+D104*('Параметры'!$B$9-'Параметры'!$B$8)</x:f>
        <x:v>0</x:v>
      </x:c>
      <x:c r="E116" s="3" t="n">
        <x:f>E103*'Параметры'!$B$8+E104*('Параметры'!$B$9-'Параметры'!$B$8)</x:f>
        <x:v>0</x:v>
      </x:c>
      <x:c r="F116" s="3" t="n">
        <x:f>F103*'Параметры'!$B$8+F104*('Параметры'!$B$9-'Параметры'!$B$8)</x:f>
        <x:v>0</x:v>
      </x:c>
      <x:c r="G116" s="3" t="n">
        <x:f>G103*'Параметры'!$B$8+G104*('Параметры'!$B$9-'Параметры'!$B$8)</x:f>
        <x:v>0</x:v>
      </x:c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</x:row>
    <x:row r="117">
      <x:c r="A117" s="2" t="str">
        <x:v>Стоимость просрочки</x:v>
      </x:c>
      <x:c r="B117" s="2"/>
      <x:c r="C117" s="3" t="n">
        <x:f>C116*'Параметры'!$B$53</x:f>
        <x:v>0</x:v>
      </x:c>
      <x:c r="D117" s="3" t="n">
        <x:f>D116*'Параметры'!$B$53</x:f>
        <x:v>0</x:v>
      </x:c>
      <x:c r="E117" s="3" t="n">
        <x:f>E116*'Параметры'!$B$53</x:f>
        <x:v>0</x:v>
      </x:c>
      <x:c r="F117" s="3" t="n">
        <x:f>F116*'Параметры'!$B$53</x:f>
        <x:v>0</x:v>
      </x:c>
      <x:c r="G117" s="3" t="n">
        <x:f>G116*'Параметры'!$B$53</x:f>
        <x:v>0</x:v>
      </x:c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</x:row>
    <x:row r="118">
      <x:c r="A118" s="15" t="str">
        <x:v>Все денежные расходы за год</x:v>
      </x:c>
      <x:c r="B118" s="15"/>
      <x:c r="C118" s="16" t="n">
        <x:f>SUM(C108:C115)+C117</x:f>
        <x:v>13873742</x:v>
      </x:c>
      <x:c r="D118" s="16" t="n">
        <x:f>SUM(D108:D115)+D117</x:f>
        <x:v>13873742</x:v>
      </x:c>
      <x:c r="E118" s="16" t="n">
        <x:f>SUM(E108:E115)+E117</x:f>
        <x:v>13873742</x:v>
      </x:c>
      <x:c r="F118" s="16" t="n">
        <x:f>SUM(F108:F115)+F117</x:f>
        <x:v>13873742</x:v>
      </x:c>
      <x:c r="G118" s="16" t="n">
        <x:f>SUM(G108:G115)+G117</x:f>
        <x:v>13873742</x:v>
      </x:c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>
      <x:c r="A119" s="15" t="str">
        <x:v>Приведённые расходы за год</x:v>
      </x:c>
      <x:c r="B119" s="15"/>
      <x:c r="C119" s="16" t="n">
        <x:f>C118*C$40</x:f>
        <x:v>12169949.122807017</x:v>
      </x:c>
      <x:c r="D119" s="16" t="n">
        <x:f>D118*D$40</x:f>
        <x:v>10675393.967374574</x:v>
      </x:c>
      <x:c r="E119" s="16" t="n">
        <x:f>E118*E$40</x:f>
        <x:v>9364380.673135592</x:v>
      </x:c>
      <x:c r="F119" s="16" t="n">
        <x:f>F118*F$40</x:f>
        <x:v>8214369.011522447</x:v>
      </x:c>
      <x:c r="G119" s="16" t="n">
        <x:f>G118*G$40</x:f>
        <x:v>7205586.852212671</x:v>
      </x:c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>
      <x:c r="A121" s="2" t="str">
        <x:v>Коэффициенты для чувствительности</x:v>
      </x:c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>
      <x:c r="A122" s="2" t="str">
        <x:v>Приведённые годы действия участка</x:v>
      </x:c>
      <x:c r="B122" s="2" t="n">
        <x:f>SUMPRODUCT(C102:G102,C40:G40)</x:f>
        <x:v>3.4330809688584596</x:v>
      </x:c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>
      <x:c r="A123" s="2" t="str">
        <x:v>Приведённые годы после окончания договора</x:v>
      </x:c>
      <x:c r="B123" s="2" t="n">
        <x:f>B124-B122</x:f>
        <x:v>0</x:v>
      </x:c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>
      <x:c r="A124" s="2" t="str">
        <x:v>Сумма дисконт-факторов за 5 лет</x:v>
      </x:c>
      <x:c r="B124" s="2" t="n">
        <x:f>SUM(C40:G40)</x:f>
        <x:v>3.4330809688584596</x:v>
      </x:c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>
      <x:c r="A127" s="2" t="str">
        <x:v>Срок окупаемости участка относительно улучшенного процесса</x:v>
      </x:c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>
      <x:c r="A128" s="2" t="str">
        <x:v>Экономия денежного расхода за год</x:v>
      </x:c>
      <x:c r="B128" s="2"/>
      <x:c r="C128" s="2" t="n">
        <x:f>C78-C118</x:f>
        <x:v>1600090</x:v>
      </x:c>
      <x:c r="D128" s="2" t="n">
        <x:f>D78-D118</x:f>
        <x:v>1600090</x:v>
      </x:c>
      <x:c r="E128" s="2" t="n">
        <x:f>E78-E118</x:f>
        <x:v>1600090</x:v>
      </x:c>
      <x:c r="F128" s="2" t="n">
        <x:f>F78-F118</x:f>
        <x:v>1600090</x:v>
      </x:c>
      <x:c r="G128" s="2" t="n">
        <x:f>G78-G118</x:f>
        <x:v>1600090</x:v>
      </x:c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>
      <x:c r="A129" s="2" t="str">
        <x:v>Накопленная экономия после доп. CAPEX</x:v>
      </x:c>
      <x:c r="B129" s="2"/>
      <x:c r="C129" s="2" t="n">
        <x:f>-('Расчёт'!$F$28-'Расчёт'!$D$28)+C128</x:f>
        <x:v>-4099910</x:v>
      </x:c>
      <x:c r="D129" s="2" t="n">
        <x:f>C129+D128</x:f>
        <x:v>-2499820</x:v>
      </x:c>
      <x:c r="E129" s="2" t="n">
        <x:f>D129+E128</x:f>
        <x:v>-899730</x:v>
      </x:c>
      <x:c r="F129" s="2" t="n">
        <x:f>E129+F128</x:f>
        <x:v>700360</x:v>
      </x:c>
      <x:c r="G129" s="2" t="n">
        <x:f>F129+G128</x:f>
        <x:v>2300450</x:v>
      </x:c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>
      <x:c r="A130" s="2" t="str">
        <x:v>Экономия с дисконтом за год</x:v>
      </x:c>
      <x:c r="B130" s="2"/>
      <x:c r="C130" s="2" t="n">
        <x:f>C128*C40</x:f>
        <x:v>1403587.7192982456</x:v>
      </x:c>
      <x:c r="D130" s="2" t="n">
        <x:f>D128*D40</x:f>
        <x:v>1231217.2976300397</x:v>
      </x:c>
      <x:c r="E130" s="2" t="n">
        <x:f>E128*E40</x:f>
        <x:v>1080015.173359684</x:v>
      </x:c>
      <x:c r="F130" s="2" t="n">
        <x:f>F128*F40</x:f>
        <x:v>947381.7310172664</x:v>
      </x:c>
      <x:c r="G130" s="2" t="n">
        <x:f>G128*G40</x:f>
        <x:v>831036.6061554967</x:v>
      </x:c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>
      <x:c r="A131" s="2" t="str">
        <x:v>Накопленная экономия с дисконтом</x:v>
      </x:c>
      <x:c r="B131" s="2"/>
      <x:c r="C131" s="2" t="n">
        <x:f>-('Расчёт'!$F$28-'Расчёт'!$D$28)+C130</x:f>
        <x:v>-4296412.280701755</x:v>
      </x:c>
      <x:c r="D131" s="2" t="n">
        <x:f>C131+D130</x:f>
        <x:v>-3065194.9830717146</x:v>
      </x:c>
      <x:c r="E131" s="2" t="n">
        <x:f>D131+E130</x:f>
        <x:v>-1985179.8097120307</x:v>
      </x:c>
      <x:c r="F131" s="2" t="n">
        <x:f>E131+F130</x:f>
        <x:v>-1037798.0786947643</x:v>
      </x:c>
      <x:c r="G131" s="2" t="n">
        <x:f>F131+G130</x:f>
        <x:v>-206761.47253926762</x:v>
      </x:c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>
      <x:c r="A132" s="2" t="str">
        <x:v>Простая окупаемость при первом пересечении</x:v>
      </x:c>
      <x:c r="B132" s="2"/>
      <x:c r="C132" s="2" t="str">
        <x:f>IF(AND(C129&gt;=0,-('Расчёт'!$F$28-'Расчёт'!$D$28)&lt;0,C128&gt;0),C$39-1-(-('Расчёт'!$F$28-'Расчёт'!$D$28))/C128,"")</x:f>
      </x:c>
      <x:c r="D132" s="2" t="str">
        <x:f>IF(AND(D129&gt;=0,C129&lt;0,D128&gt;0),D$39-1-(C129)/D128,"")</x:f>
      </x:c>
      <x:c r="E132" s="2" t="str">
        <x:f>IF(AND(E129&gt;=0,D129&lt;0,E128&gt;0),E$39-1-(D129)/E128,"")</x:f>
      </x:c>
      <x:c r="F132" s="2" t="n">
        <x:f>IF(AND(F129&gt;=0,E129&lt;0,F128&gt;0),F$39-1-(E129)/F128,"")</x:f>
        <x:v>3.5622996206463386</x:v>
      </x:c>
      <x:c r="G132" s="2" t="str">
        <x:f>IF(AND(G129&gt;=0,F129&lt;0,G128&gt;0),G$39-1-(F129)/G128,"")</x:f>
      </x:c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>
      <x:c r="A133" s="2" t="str">
        <x:v>Дисконтированная окупаемость при первом пересечении</x:v>
      </x:c>
      <x:c r="B133" s="2"/>
      <x:c r="C133" s="2" t="str">
        <x:f>IF(AND(C131&gt;=0,-('Расчёт'!$F$28-'Расчёт'!$D$28)&lt;0,C130&gt;0),C$39-1-(-('Расчёт'!$F$28-'Расчёт'!$D$28))/C130,"")</x:f>
      </x:c>
      <x:c r="D133" s="2" t="str">
        <x:f>IF(AND(D131&gt;=0,C131&lt;0,D130&gt;0),D$39-1-(C131)/D130,"")</x:f>
      </x:c>
      <x:c r="E133" s="2" t="str">
        <x:f>IF(AND(E131&gt;=0,D131&lt;0,E130&gt;0),E$39-1-(D131)/E130,"")</x:f>
      </x:c>
      <x:c r="F133" s="2" t="str">
        <x:f>IF(AND(F131&gt;=0,E131&lt;0,F130&gt;0),F$39-1-(E131)/F130,"")</x:f>
      </x:c>
      <x:c r="G133" s="2" t="str">
        <x:f>IF(AND(G131&gt;=0,F131&lt;0,G130&gt;0),G$39-1-(F131)/G130,"")</x:f>
      </x:c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>
      <x:c r="A136" s="2" t="str">
        <x:v>Срок окупаемости участка относительно временных смен</x:v>
      </x:c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>
      <x:c r="A137" s="2" t="str">
        <x:v>Экономия денежного расхода за год</x:v>
      </x:c>
      <x:c r="B137" s="2"/>
      <x:c r="C137" s="2" t="n">
        <x:f>C98-C118</x:f>
        <x:v>-235510</x:v>
      </x:c>
      <x:c r="D137" s="2" t="n">
        <x:f>D98-D118</x:f>
        <x:v>-235510</x:v>
      </x:c>
      <x:c r="E137" s="2" t="n">
        <x:f>E98-E118</x:f>
        <x:v>-235510</x:v>
      </x:c>
      <x:c r="F137" s="2" t="n">
        <x:f>F98-F118</x:f>
        <x:v>-235510</x:v>
      </x:c>
      <x:c r="G137" s="2" t="n">
        <x:f>G98-G118</x:f>
        <x:v>-235510</x:v>
      </x:c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>
      <x:c r="A138" s="2" t="str">
        <x:v>Накопленная экономия после доп. CAPEX</x:v>
      </x:c>
      <x:c r="B138" s="2"/>
      <x:c r="C138" s="2" t="n">
        <x:f>-('Расчёт'!$F$28-'Расчёт'!$E$28)+C137</x:f>
        <x:v>-5935510</x:v>
      </x:c>
      <x:c r="D138" s="2" t="n">
        <x:f>C138+D137</x:f>
        <x:v>-6171020</x:v>
      </x:c>
      <x:c r="E138" s="2" t="n">
        <x:f>D138+E137</x:f>
        <x:v>-6406530</x:v>
      </x:c>
      <x:c r="F138" s="2" t="n">
        <x:f>E138+F137</x:f>
        <x:v>-6642040</x:v>
      </x:c>
      <x:c r="G138" s="2" t="n">
        <x:f>F138+G137</x:f>
        <x:v>-6877550</x:v>
      </x:c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>
      <x:c r="A139" s="2" t="str">
        <x:v>Экономия с дисконтом за год</x:v>
      </x:c>
      <x:c r="B139" s="2"/>
      <x:c r="C139" s="2" t="n">
        <x:f>C137*C40</x:f>
        <x:v>-206587.7192982456</x:v>
      </x:c>
      <x:c r="D139" s="2" t="n">
        <x:f>D137*D40</x:f>
        <x:v>-181217.29763003998</x:v>
      </x:c>
      <x:c r="E139" s="2" t="n">
        <x:f>E137*E40</x:f>
        <x:v>-158962.54178073682</x:v>
      </x:c>
      <x:c r="F139" s="2" t="n">
        <x:f>F137*F40</x:f>
        <x:v>-139440.8261234533</x:v>
      </x:c>
      <x:c r="G139" s="2" t="n">
        <x:f>G137*G40</x:f>
        <x:v>-122316.51414338007</x:v>
      </x:c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>
      <x:c r="A140" s="2" t="str">
        <x:v>Накопленная экономия с дисконтом</x:v>
      </x:c>
      <x:c r="B140" s="2"/>
      <x:c r="C140" s="2" t="n">
        <x:f>-('Расчёт'!$F$28-'Расчёт'!$E$28)+C139</x:f>
        <x:v>-5906587.719298245</x:v>
      </x:c>
      <x:c r="D140" s="2" t="n">
        <x:f>C140+D139</x:f>
        <x:v>-6087805.016928285</x:v>
      </x:c>
      <x:c r="E140" s="2" t="n">
        <x:f>D140+E139</x:f>
        <x:v>-6246767.558709023</x:v>
      </x:c>
      <x:c r="F140" s="2" t="n">
        <x:f>E140+F139</x:f>
        <x:v>-6386208.384832476</x:v>
      </x:c>
      <x:c r="G140" s="2" t="n">
        <x:f>F140+G139</x:f>
        <x:v>-6508524.898975857</x:v>
      </x:c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>
      <x:c r="A141" s="2" t="str">
        <x:v>Простая окупаемость при первом пересечении</x:v>
      </x:c>
      <x:c r="B141" s="2"/>
      <x:c r="C141" s="2" t="str">
        <x:f>IF(AND(C138&gt;=0,-('Расчёт'!$F$28-'Расчёт'!$E$28)&lt;0,C137&gt;0),C$39-1-(-('Расчёт'!$F$28-'Расчёт'!$E$28))/C137,"")</x:f>
      </x:c>
      <x:c r="D141" s="2" t="str">
        <x:f>IF(AND(D138&gt;=0,C138&lt;0,D137&gt;0),D$39-1-(C138)/D137,"")</x:f>
      </x:c>
      <x:c r="E141" s="2" t="str">
        <x:f>IF(AND(E138&gt;=0,D138&lt;0,E137&gt;0),E$39-1-(D138)/E137,"")</x:f>
      </x:c>
      <x:c r="F141" s="2" t="str">
        <x:f>IF(AND(F138&gt;=0,E138&lt;0,F137&gt;0),F$39-1-(E138)/F137,"")</x:f>
      </x:c>
      <x:c r="G141" s="2" t="str">
        <x:f>IF(AND(G138&gt;=0,F138&lt;0,G137&gt;0),G$39-1-(F138)/G137,"")</x:f>
      </x:c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>
      <x:c r="A142" s="2" t="str">
        <x:v>Дисконтированная окупаемость при первом пересечении</x:v>
      </x:c>
      <x:c r="B142" s="2"/>
      <x:c r="C142" s="2" t="str">
        <x:f>IF(AND(C140&gt;=0,-('Расчёт'!$F$28-'Расчёт'!$E$28)&lt;0,C139&gt;0),C$39-1-(-('Расчёт'!$F$28-'Расчёт'!$E$28))/C139,"")</x:f>
      </x:c>
      <x:c r="D142" s="2" t="str">
        <x:f>IF(AND(D140&gt;=0,C140&lt;0,D139&gt;0),D$39-1-(C140)/D139,"")</x:f>
      </x:c>
      <x:c r="E142" s="2" t="str">
        <x:f>IF(AND(E140&gt;=0,D140&lt;0,E139&gt;0),E$39-1-(D140)/E139,"")</x:f>
      </x:c>
      <x:c r="F142" s="2" t="str">
        <x:f>IF(AND(F140&gt;=0,E140&lt;0,F139&gt;0),F$39-1-(E140)/F139,"")</x:f>
      </x:c>
      <x:c r="G142" s="2" t="str">
        <x:f>IF(AND(G140&gt;=0,F140&lt;0,G139&gt;0),G$39-1-(F140)/G139,"")</x:f>
      </x:c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A8BA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1" t="str">
        <x:v>Чувствительность и порог объёма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2" t="str">
        <x:v>Положительное число означает, что участок дешевле сравниваемого состояния по приведённым расходам.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 t="str">
        <x:v>Экономия участка относительно улучшенного процесса, млн ₽ за 5 лет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9" customHeight="1">
      <x:c r="A6" s="24" t="str">
        <x:v>Пик, недель</x:v>
      </x:c>
      <x:c r="B6" s="24" t="str">
        <x:v>0%</x:v>
      </x:c>
      <x:c r="C6" s="24" t="str">
        <x:v>20%</x:v>
      </x:c>
      <x:c r="D6" s="24" t="str">
        <x:v>40%</x:v>
      </x:c>
      <x:c r="E6" s="24" t="str">
        <x:v>60%</x:v>
      </x:c>
      <x:c r="F6" s="24" t="str">
        <x:v>80%</x:v>
      </x:c>
      <x:c r="G6" s="24" t="str">
        <x:v>100%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>
      <x:c r="A7" s="2" t="n">
        <x:v>8</x:v>
      </x:c>
      <x:c r="B7" s="17" t="n">
        <x:f>M16/1000000</x:f>
        <x:v>-2.3445670832627936</x:v>
      </x:c>
      <x:c r="C7" s="17" t="n">
        <x:f>M17/1000000</x:f>
        <x:v>-2.0463834026316254</x:v>
      </x:c>
      <x:c r="D7" s="17" t="n">
        <x:f>M18/1000000</x:f>
        <x:v>-1.74819972200045</x:v>
      </x:c>
      <x:c r="E7" s="17" t="n">
        <x:f>M19/1000000</x:f>
        <x:v>-1.7441393484769687</x:v>
      </x:c>
      <x:c r="F7" s="17" t="n">
        <x:f>M20/1000000</x:f>
        <x:v>-1.7441393484769687</x:v>
      </x:c>
      <x:c r="G7" s="17" t="n">
        <x:f>M21/1000000</x:f>
        <x:v>-1.7441393484769687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>
      <x:c r="A8" s="2" t="n">
        <x:v>10</x:v>
      </x:c>
      <x:c r="B8" s="17" t="n">
        <x:f>M22/1000000</x:f>
        <x:v>-0.6337062879884392</x:v>
      </x:c>
      <x:c r="C8" s="17" t="n">
        <x:f>M23/1000000</x:f>
        <x:v>-0.3490764110223204</x:v>
      </x:c>
      <x:c r="D8" s="17" t="n">
        <x:f>M24/1000000</x:f>
        <x:v>-0.06444653405620902</x:v>
      </x:c>
      <x:c r="E8" s="17" t="n">
        <x:f>M25/1000000</x:f>
        <x:v>-0.06057072296559811</x:v>
      </x:c>
      <x:c r="F8" s="17" t="n">
        <x:f>M26/1000000</x:f>
        <x:v>-0.06057072296559811</x:v>
      </x:c>
      <x:c r="G8" s="17" t="n">
        <x:f>M27/1000000</x:f>
        <x:v>-0.06057072296559811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>
      <x:c r="A9" s="2" t="n">
        <x:v>12</x:v>
      </x:c>
      <x:c r="B9" s="17" t="n">
        <x:f>M28/1000000</x:f>
        <x:v>1.077154507285908</x:v>
      </x:c>
      <x:c r="C9" s="17" t="n">
        <x:f>M29/1000000</x:f>
        <x:v>1.3482305805869699</x:v>
      </x:c>
      <x:c r="D9" s="17" t="n">
        <x:f>M30/1000000</x:f>
        <x:v>1.6193066538880319</x:v>
      </x:c>
      <x:c r="E9" s="17" t="n">
        <x:f>M31/1000000</x:f>
        <x:v>1.6229979025457575</x:v>
      </x:c>
      <x:c r="F9" s="17" t="n">
        <x:f>M32/1000000</x:f>
        <x:v>1.6229979025457575</x:v>
      </x:c>
      <x:c r="G9" s="17" t="n">
        <x:f>M33/1000000</x:f>
        <x:v>1.6229979025457575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>
      <x:c r="A11" s="2" t="str">
        <x:v>Первый порог против улучшенного процесса, строк/пиковую неделю</x:v>
      </x:c>
      <x:c r="B11" s="3" t="n">
        <x:f>IF(COUNT(D37:D117)=0,"нет в сетке",MIN(D37:D117))</x:f>
        <x:v>3914.968538741934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>
      <x:c r="A12" s="2" t="str">
        <x:v>Первый порог против временных смен, строк/пиковую неделю</x:v>
      </x:c>
      <x:c r="B12" s="3" t="str">
        <x:f>IF(COUNT(E37:E117)=0,"нет в сетке",MIN(E37:E117))</x:f>
        <x:v>нет в сетке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>
      <x:c r="A13" s="2" t="str">
        <x:v>Порог цены просрочки: смены дешевле процесса от, ₽/строку</x:v>
      </x:c>
      <x:c r="B13" s="3" t="n">
        <x:f>IF(SUMPRODUCT('Расчёт'!C76:G76,'Расчёт'!C40:G40)-SUMPRODUCT('Расчёт'!C96:G96,'Расчёт'!C40:G40)&lt;=0,"нет разницы",MAX(0,'Параметры'!$B$53+(('Расчёт'!E28+SUM('Расчёт'!C99:G99))-('Расчёт'!D28+SUM('Расчёт'!C79:G79)))/(SUMPRODUCT('Расчёт'!C76:G76,'Расчёт'!C40:G40)-SUMPRODUCT('Расчёт'!C96:G96,'Расчёт'!C40:G40))))</x:f>
        <x:v>94.06666666666666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>
      <x:c r="A14" s="2" t="str">
        <x:v>Порог цены просрочки: участок дешевле процесса от, ₽/строку</x:v>
      </x:c>
      <x:c r="B14" s="3" t="n">
        <x:f>IF(SUMPRODUCT('Расчёт'!C76:G76,'Расчёт'!C40:G40)-SUMPRODUCT('Расчёт'!C116:G116,'Расчёт'!C40:G40)&lt;=0,"нет разницы",MAX(0,'Параметры'!$B$53+(('Расчёт'!F28+SUM('Расчёт'!C119:G119))-('Расчёт'!D28+SUM('Расчёт'!C79:G79)))/(SUMPRODUCT('Расчёт'!C76:G76,'Расчёт'!C40:G40)-SUMPRODUCT('Расчёт'!C116:G116,'Расчёт'!C40:G40))))</x:f>
        <x:v>410.0377024998251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9" customHeight="1">
      <x:c r="A15" s="24" t="str">
        <x:v>Пик, нед.</x:v>
      </x:c>
      <x:c r="B15" s="24" t="str">
        <x:v>Вне сезона</x:v>
      </x:c>
      <x:c r="C15" s="24" t="str">
        <x:v>Участок: строк/нед.</x:v>
      </x:c>
      <x:c r="D15" s="24" t="str">
        <x:v>Поздних вне сезона</x:v>
      </x:c>
      <x:c r="E15" s="24" t="str">
        <x:v>Ошибки участка, ₽/год</x:v>
      </x:c>
      <x:c r="F15" s="24" t="str">
        <x:v>Ошибки процесса, ₽/год</x:v>
      </x:c>
      <x:c r="G15" s="24" t="str">
        <x:v>Поздние процесса, ₽/год</x:v>
      </x:c>
      <x:c r="H15" s="24" t="str">
        <x:v>Поздние участка, ₽/год</x:v>
      </x:c>
      <x:c r="I15" s="24" t="str">
        <x:v>Расход процесса, ₽/год</x:v>
      </x:c>
      <x:c r="J15" s="24" t="str">
        <x:v>Расход участка, ₽/год</x:v>
      </x:c>
      <x:c r="K15" s="24" t="str">
        <x:v>ПСЗ процесса, ₽</x:v>
      </x:c>
      <x:c r="L15" s="24" t="str">
        <x:v>ПСЗ участка, ₽</x:v>
      </x:c>
      <x:c r="M15" s="24" t="str">
        <x:v>Экономия, ₽</x:v>
      </x:c>
      <x:c r="N15" s="2" t="str"/>
      <x:c r="O15" s="2" t="str"/>
      <x:c r="P15" s="2" t="str"/>
      <x:c r="Q15" s="2"/>
      <x:c r="R15" s="2"/>
      <x:c r="S15" s="2"/>
      <x:c r="T15" s="2"/>
    </x:row>
    <x:row r="16">
      <x:c r="A16" s="2" t="n">
        <x:v>8</x:v>
      </x:c>
      <x:c r="B16" s="9" t="n">
        <x:v>0</x:v>
      </x:c>
      <x:c r="C16" s="2" t="n">
        <x:f>MIN('Расчёт'!$F$10,'Параметры'!$B$23*(1-'Параметры'!$B$24)*B16)</x:f>
        <x:v>0</x:v>
      </x:c>
      <x:c r="D16" s="2" t="n">
        <x:f>MAX(0,'Расчёт'!$F$6-C16*'Параметры'!$B$25*'Параметры'!$B$26-'Расчёт'!$F$8)</x:f>
        <x:v>0</x:v>
      </x:c>
      <x:c r="E16" s="2" t="n">
        <x:f>('Расчёт'!$F$22*A16+('Расчёт'!$F$6*'Параметры'!$B$49-C16*('Параметры'!$B$49-'Параметры'!$B$51))*('Параметры'!$B$9-A16))*'Параметры'!$B$52</x:f>
        <x:v>813321.6000000001</x:v>
      </x:c>
      <x:c r="F16" s="2" t="n">
        <x:f>('Расчёт'!$D$22*A16+'Расчёт'!$D$23*('Параметры'!$B$9-A16))*'Параметры'!$B$52</x:f>
        <x:v>886704</x:v>
      </x:c>
      <x:c r="G16" s="2" t="n">
        <x:f>('Расчёт'!$D$19*A16+'Расчёт'!$D$20*('Параметры'!$B$9-A16))*'Параметры'!$B$53</x:f>
        <x:v>1920000</x:v>
      </x:c>
      <x:c r="H16" s="2" t="n">
        <x:f>('Расчёт'!$F$19*A16+D16*('Параметры'!$B$9-A16))*'Параметры'!$B$53</x:f>
        <x:v>0</x:v>
      </x:c>
      <x:c r="I16" s="2" t="n">
        <x:f>'Расчёт'!$D$33+'Расчёт'!$D$34+'Расчёт'!$D$29+F16+G16</x:f>
        <x:v>14956704</x:v>
      </x:c>
      <x:c r="J16" s="2" t="n">
        <x:f>'Расчёт'!$F$33+'Расчёт'!$F$34+'Расчёт'!$F$29+'Расчёт'!$F$30+'Расчёт'!$F$32+'Расчёт'!$F$26*A16+'Расчёт'!$F$27+E16+H16</x:f>
        <x:v>13979321.6</x:v>
      </x:c>
      <x:c r="K16" s="2" t="n">
        <x:f>'Расчёт'!$D$28+I16*'Расчёт'!$B$124</x:f>
        <x:v>51647575.8592492</x:v>
      </x:c>
      <x:c r="L16" s="2" t="n">
        <x:f>'Расчёт'!$F$28+J16*'Расчёт'!$B$122+(I16+'Расчёт'!$F$32)*'Расчёт'!$B$123</x:f>
        <x:v>53992142.94251199</x:v>
      </x:c>
      <x:c r="M16" s="2" t="n">
        <x:f>K16-L16</x:f>
        <x:v>-2344567.0832627937</x:v>
      </x:c>
      <x:c r="N16" s="2"/>
      <x:c r="O16" s="2"/>
      <x:c r="P16" s="2"/>
      <x:c r="Q16" s="2"/>
      <x:c r="R16" s="2"/>
      <x:c r="S16" s="2"/>
      <x:c r="T16" s="2"/>
    </x:row>
    <x:row r="17">
      <x:c r="A17" s="2" t="n">
        <x:v>8</x:v>
      </x:c>
      <x:c r="B17" s="9" t="n">
        <x:v>0.2</x:v>
      </x:c>
      <x:c r="C17" s="2" t="n">
        <x:f>MIN('Расчёт'!$F$10,'Параметры'!$B$23*(1-'Параметры'!$B$24)*B17)</x:f>
        <x:v>470</x:v>
      </x:c>
      <x:c r="D17" s="2" t="n">
        <x:f>MAX(0,'Расчёт'!$F$6-C17*'Параметры'!$B$25*'Параметры'!$B$26-'Расчёт'!$F$8)</x:f>
        <x:v>0</x:v>
      </x:c>
      <x:c r="E17" s="2" t="n">
        <x:f>('Расчёт'!$F$22*A17+('Расчёт'!$F$6*'Параметры'!$B$49-C17*('Параметры'!$B$49-'Параметры'!$B$51))*('Параметры'!$B$9-A17))*'Параметры'!$B$52</x:f>
        <x:v>726465.6000000001</x:v>
      </x:c>
      <x:c r="F17" s="2" t="n">
        <x:f>('Расчёт'!$D$22*A17+'Расчёт'!$D$23*('Параметры'!$B$9-A17))*'Параметры'!$B$52</x:f>
        <x:v>886704</x:v>
      </x:c>
      <x:c r="G17" s="2" t="n">
        <x:f>('Расчёт'!$D$19*A17+'Расчёт'!$D$20*('Параметры'!$B$9-A17))*'Параметры'!$B$53</x:f>
        <x:v>1920000</x:v>
      </x:c>
      <x:c r="H17" s="2" t="n">
        <x:f>('Расчёт'!$F$19*A17+D17*('Параметры'!$B$9-A17))*'Параметры'!$B$53</x:f>
        <x:v>0</x:v>
      </x:c>
      <x:c r="I17" s="2" t="n">
        <x:f>'Расчёт'!$D$33+'Расчёт'!$D$34+'Расчёт'!$D$29+F17+G17</x:f>
        <x:v>14956704</x:v>
      </x:c>
      <x:c r="J17" s="2" t="n">
        <x:f>'Расчёт'!$F$33+'Расчёт'!$F$34+'Расчёт'!$F$29+'Расчёт'!$F$30+'Расчёт'!$F$32+'Расчёт'!$F$26*A17+'Расчёт'!$F$27+E17+H17</x:f>
        <x:v>13892465.6</x:v>
      </x:c>
      <x:c r="K17" s="2" t="n">
        <x:f>'Расчёт'!$D$28+I17*'Расчёт'!$B$124</x:f>
        <x:v>51647575.8592492</x:v>
      </x:c>
      <x:c r="L17" s="2" t="n">
        <x:f>'Расчёт'!$F$28+J17*'Расчёт'!$B$122+(I17+'Расчёт'!$F$32)*'Расчёт'!$B$123</x:f>
        <x:v>53693959.26188082</x:v>
      </x:c>
      <x:c r="M17" s="2" t="n">
        <x:f>K17-L17</x:f>
        <x:v>-2046383.4026316255</x:v>
      </x:c>
      <x:c r="N17" s="2"/>
      <x:c r="O17" s="2"/>
      <x:c r="P17" s="2"/>
      <x:c r="Q17" s="2"/>
      <x:c r="R17" s="2"/>
      <x:c r="S17" s="2"/>
      <x:c r="T17" s="2"/>
    </x:row>
    <x:row r="18">
      <x:c r="A18" s="2" t="n">
        <x:v>8</x:v>
      </x:c>
      <x:c r="B18" s="9" t="n">
        <x:v>0.4</x:v>
      </x:c>
      <x:c r="C18" s="2" t="n">
        <x:f>MIN('Расчёт'!$F$10,'Параметры'!$B$23*(1-'Параметры'!$B$24)*B18)</x:f>
        <x:v>940</x:v>
      </x:c>
      <x:c r="D18" s="2" t="n">
        <x:f>MAX(0,'Расчёт'!$F$6-C18*'Параметры'!$B$25*'Параметры'!$B$26-'Расчёт'!$F$8)</x:f>
        <x:v>0</x:v>
      </x:c>
      <x:c r="E18" s="2" t="n">
        <x:f>('Расчёт'!$F$22*A18+('Расчёт'!$F$6*'Параметры'!$B$49-C18*('Параметры'!$B$49-'Параметры'!$B$51))*('Параметры'!$B$9-A18))*'Параметры'!$B$52</x:f>
        <x:v>639609.6000000001</x:v>
      </x:c>
      <x:c r="F18" s="2" t="n">
        <x:f>('Расчёт'!$D$22*A18+'Расчёт'!$D$23*('Параметры'!$B$9-A18))*'Параметры'!$B$52</x:f>
        <x:v>886704</x:v>
      </x:c>
      <x:c r="G18" s="2" t="n">
        <x:f>('Расчёт'!$D$19*A18+'Расчёт'!$D$20*('Параметры'!$B$9-A18))*'Параметры'!$B$53</x:f>
        <x:v>1920000</x:v>
      </x:c>
      <x:c r="H18" s="2" t="n">
        <x:f>('Расчёт'!$F$19*A18+D18*('Параметры'!$B$9-A18))*'Параметры'!$B$53</x:f>
        <x:v>0</x:v>
      </x:c>
      <x:c r="I18" s="2" t="n">
        <x:f>'Расчёт'!$D$33+'Расчёт'!$D$34+'Расчёт'!$D$29+F18+G18</x:f>
        <x:v>14956704</x:v>
      </x:c>
      <x:c r="J18" s="2" t="n">
        <x:f>'Расчёт'!$F$33+'Расчёт'!$F$34+'Расчёт'!$F$29+'Расчёт'!$F$30+'Расчёт'!$F$32+'Расчёт'!$F$26*A18+'Расчёт'!$F$27+E18+H18</x:f>
        <x:v>13805609.6</x:v>
      </x:c>
      <x:c r="K18" s="2" t="n">
        <x:f>'Расчёт'!$D$28+I18*'Расчёт'!$B$124</x:f>
        <x:v>51647575.8592492</x:v>
      </x:c>
      <x:c r="L18" s="2" t="n">
        <x:f>'Расчёт'!$F$28+J18*'Расчёт'!$B$122+(I18+'Расчёт'!$F$32)*'Расчёт'!$B$123</x:f>
        <x:v>53395775.58124965</x:v>
      </x:c>
      <x:c r="M18" s="2" t="n">
        <x:f>K18-L18</x:f>
        <x:v>-1748199.72200045</x:v>
      </x:c>
      <x:c r="N18" s="2"/>
      <x:c r="O18" s="2"/>
      <x:c r="P18" s="2"/>
      <x:c r="Q18" s="2"/>
      <x:c r="R18" s="2"/>
      <x:c r="S18" s="2"/>
      <x:c r="T18" s="2"/>
    </x:row>
    <x:row r="19">
      <x:c r="A19" s="2" t="n">
        <x:v>8</x:v>
      </x:c>
      <x:c r="B19" s="9" t="n">
        <x:v>0.6</x:v>
      </x:c>
      <x:c r="C19" s="2" t="n">
        <x:f>MIN('Расчёт'!$F$10,'Параметры'!$B$23*(1-'Параметры'!$B$24)*B19)</x:f>
        <x:v>946.4</x:v>
      </x:c>
      <x:c r="D19" s="2" t="n">
        <x:f>MAX(0,'Расчёт'!$F$6-C19*'Параметры'!$B$25*'Параметры'!$B$26-'Расчёт'!$F$8)</x:f>
        <x:v>0</x:v>
      </x:c>
      <x:c r="E19" s="2" t="n">
        <x:f>('Расчёт'!$F$22*A19+('Расчёт'!$F$6*'Параметры'!$B$49-C19*('Параметры'!$B$49-'Параметры'!$B$51))*('Параметры'!$B$9-A19))*'Параметры'!$B$52</x:f>
        <x:v>638426.8800000001</x:v>
      </x:c>
      <x:c r="F19" s="2" t="n">
        <x:f>('Расчёт'!$D$22*A19+'Расчёт'!$D$23*('Параметры'!$B$9-A19))*'Параметры'!$B$52</x:f>
        <x:v>886704</x:v>
      </x:c>
      <x:c r="G19" s="2" t="n">
        <x:f>('Расчёт'!$D$19*A19+'Расчёт'!$D$20*('Параметры'!$B$9-A19))*'Параметры'!$B$53</x:f>
        <x:v>1920000</x:v>
      </x:c>
      <x:c r="H19" s="2" t="n">
        <x:f>('Расчёт'!$F$19*A19+D19*('Параметры'!$B$9-A19))*'Параметры'!$B$53</x:f>
        <x:v>0</x:v>
      </x:c>
      <x:c r="I19" s="2" t="n">
        <x:f>'Расчёт'!$D$33+'Расчёт'!$D$34+'Расчёт'!$D$29+F19+G19</x:f>
        <x:v>14956704</x:v>
      </x:c>
      <x:c r="J19" s="2" t="n">
        <x:f>'Расчёт'!$F$33+'Расчёт'!$F$34+'Расчёт'!$F$29+'Расчёт'!$F$30+'Расчёт'!$F$32+'Расчёт'!$F$26*A19+'Расчёт'!$F$27+E19+H19</x:f>
        <x:v>13804426.88</x:v>
      </x:c>
      <x:c r="K19" s="2" t="n">
        <x:f>'Расчёт'!$D$28+I19*'Расчёт'!$B$124</x:f>
        <x:v>51647575.8592492</x:v>
      </x:c>
      <x:c r="L19" s="2" t="n">
        <x:f>'Расчёт'!$F$28+J19*'Расчёт'!$B$122+(I19+'Расчёт'!$F$32)*'Расчёт'!$B$123</x:f>
        <x:v>53391715.207726166</x:v>
      </x:c>
      <x:c r="M19" s="2" t="n">
        <x:f>K19-L19</x:f>
        <x:v>-1744139.3484769687</x:v>
      </x:c>
      <x:c r="N19" s="2"/>
      <x:c r="O19" s="2"/>
      <x:c r="P19" s="2"/>
      <x:c r="Q19" s="2"/>
      <x:c r="R19" s="2"/>
      <x:c r="S19" s="2"/>
      <x:c r="T19" s="2"/>
    </x:row>
    <x:row r="20">
      <x:c r="A20" s="2" t="n">
        <x:v>8</x:v>
      </x:c>
      <x:c r="B20" s="9" t="n">
        <x:v>0.8</x:v>
      </x:c>
      <x:c r="C20" s="2" t="n">
        <x:f>MIN('Расчёт'!$F$10,'Параметры'!$B$23*(1-'Параметры'!$B$24)*B20)</x:f>
        <x:v>946.4</x:v>
      </x:c>
      <x:c r="D20" s="2" t="n">
        <x:f>MAX(0,'Расчёт'!$F$6-C20*'Параметры'!$B$25*'Параметры'!$B$26-'Расчёт'!$F$8)</x:f>
        <x:v>0</x:v>
      </x:c>
      <x:c r="E20" s="2" t="n">
        <x:f>('Расчёт'!$F$22*A20+('Расчёт'!$F$6*'Параметры'!$B$49-C20*('Параметры'!$B$49-'Параметры'!$B$51))*('Параметры'!$B$9-A20))*'Параметры'!$B$52</x:f>
        <x:v>638426.8800000001</x:v>
      </x:c>
      <x:c r="F20" s="2" t="n">
        <x:f>('Расчёт'!$D$22*A20+'Расчёт'!$D$23*('Параметры'!$B$9-A20))*'Параметры'!$B$52</x:f>
        <x:v>886704</x:v>
      </x:c>
      <x:c r="G20" s="2" t="n">
        <x:f>('Расчёт'!$D$19*A20+'Расчёт'!$D$20*('Параметры'!$B$9-A20))*'Параметры'!$B$53</x:f>
        <x:v>1920000</x:v>
      </x:c>
      <x:c r="H20" s="2" t="n">
        <x:f>('Расчёт'!$F$19*A20+D20*('Параметры'!$B$9-A20))*'Параметры'!$B$53</x:f>
        <x:v>0</x:v>
      </x:c>
      <x:c r="I20" s="2" t="n">
        <x:f>'Расчёт'!$D$33+'Расчёт'!$D$34+'Расчёт'!$D$29+F20+G20</x:f>
        <x:v>14956704</x:v>
      </x:c>
      <x:c r="J20" s="2" t="n">
        <x:f>'Расчёт'!$F$33+'Расчёт'!$F$34+'Расчёт'!$F$29+'Расчёт'!$F$30+'Расчёт'!$F$32+'Расчёт'!$F$26*A20+'Расчёт'!$F$27+E20+H20</x:f>
        <x:v>13804426.88</x:v>
      </x:c>
      <x:c r="K20" s="2" t="n">
        <x:f>'Расчёт'!$D$28+I20*'Расчёт'!$B$124</x:f>
        <x:v>51647575.8592492</x:v>
      </x:c>
      <x:c r="L20" s="2" t="n">
        <x:f>'Расчёт'!$F$28+J20*'Расчёт'!$B$122+(I20+'Расчёт'!$F$32)*'Расчёт'!$B$123</x:f>
        <x:v>53391715.207726166</x:v>
      </x:c>
      <x:c r="M20" s="2" t="n">
        <x:f>K20-L20</x:f>
        <x:v>-1744139.3484769687</x:v>
      </x:c>
      <x:c r="N20" s="2"/>
      <x:c r="O20" s="2"/>
      <x:c r="P20" s="2"/>
      <x:c r="Q20" s="2"/>
      <x:c r="R20" s="2"/>
      <x:c r="S20" s="2"/>
      <x:c r="T20" s="2"/>
    </x:row>
    <x:row r="21">
      <x:c r="A21" s="2" t="n">
        <x:v>8</x:v>
      </x:c>
      <x:c r="B21" s="9" t="n">
        <x:v>1</x:v>
      </x:c>
      <x:c r="C21" s="2" t="n">
        <x:f>MIN('Расчёт'!$F$10,'Параметры'!$B$23*(1-'Параметры'!$B$24)*B21)</x:f>
        <x:v>946.4</x:v>
      </x:c>
      <x:c r="D21" s="2" t="n">
        <x:f>MAX(0,'Расчёт'!$F$6-C21*'Параметры'!$B$25*'Параметры'!$B$26-'Расчёт'!$F$8)</x:f>
        <x:v>0</x:v>
      </x:c>
      <x:c r="E21" s="2" t="n">
        <x:f>('Расчёт'!$F$22*A21+('Расчёт'!$F$6*'Параметры'!$B$49-C21*('Параметры'!$B$49-'Параметры'!$B$51))*('Параметры'!$B$9-A21))*'Параметры'!$B$52</x:f>
        <x:v>638426.8800000001</x:v>
      </x:c>
      <x:c r="F21" s="2" t="n">
        <x:f>('Расчёт'!$D$22*A21+'Расчёт'!$D$23*('Параметры'!$B$9-A21))*'Параметры'!$B$52</x:f>
        <x:v>886704</x:v>
      </x:c>
      <x:c r="G21" s="2" t="n">
        <x:f>('Расчёт'!$D$19*A21+'Расчёт'!$D$20*('Параметры'!$B$9-A21))*'Параметры'!$B$53</x:f>
        <x:v>1920000</x:v>
      </x:c>
      <x:c r="H21" s="2" t="n">
        <x:f>('Расчёт'!$F$19*A21+D21*('Параметры'!$B$9-A21))*'Параметры'!$B$53</x:f>
        <x:v>0</x:v>
      </x:c>
      <x:c r="I21" s="2" t="n">
        <x:f>'Расчёт'!$D$33+'Расчёт'!$D$34+'Расчёт'!$D$29+F21+G21</x:f>
        <x:v>14956704</x:v>
      </x:c>
      <x:c r="J21" s="2" t="n">
        <x:f>'Расчёт'!$F$33+'Расчёт'!$F$34+'Расчёт'!$F$29+'Расчёт'!$F$30+'Расчёт'!$F$32+'Расчёт'!$F$26*A21+'Расчёт'!$F$27+E21+H21</x:f>
        <x:v>13804426.88</x:v>
      </x:c>
      <x:c r="K21" s="2" t="n">
        <x:f>'Расчёт'!$D$28+I21*'Расчёт'!$B$124</x:f>
        <x:v>51647575.8592492</x:v>
      </x:c>
      <x:c r="L21" s="2" t="n">
        <x:f>'Расчёт'!$F$28+J21*'Расчёт'!$B$122+(I21+'Расчёт'!$F$32)*'Расчёт'!$B$123</x:f>
        <x:v>53391715.207726166</x:v>
      </x:c>
      <x:c r="M21" s="2" t="n">
        <x:f>K21-L21</x:f>
        <x:v>-1744139.3484769687</x:v>
      </x:c>
      <x:c r="N21" s="2"/>
      <x:c r="O21" s="2"/>
      <x:c r="P21" s="2"/>
      <x:c r="Q21" s="2"/>
      <x:c r="R21" s="2"/>
      <x:c r="S21" s="2"/>
      <x:c r="T21" s="2"/>
    </x:row>
    <x:row r="22">
      <x:c r="A22" s="2" t="n">
        <x:v>10</x:v>
      </x:c>
      <x:c r="B22" s="9" t="n">
        <x:v>0</x:v>
      </x:c>
      <x:c r="C22" s="2" t="n">
        <x:f>MIN('Расчёт'!$F$10,'Параметры'!$B$23*(1-'Параметры'!$B$24)*B22)</x:f>
        <x:v>0</x:v>
      </x:c>
      <x:c r="D22" s="2" t="n">
        <x:f>MAX(0,'Расчёт'!$F$6-C22*'Параметры'!$B$25*'Параметры'!$B$26-'Расчёт'!$F$8)</x:f>
        <x:v>0</x:v>
      </x:c>
      <x:c r="E22" s="2" t="n">
        <x:f>('Расчёт'!$F$22*A22+('Расчёт'!$F$6*'Параметры'!$B$49-C22*('Параметры'!$B$49-'Параметры'!$B$51))*('Параметры'!$B$9-A22))*'Параметры'!$B$52</x:f>
        <x:v>832104.0000000001</x:v>
      </x:c>
      <x:c r="F22" s="2" t="n">
        <x:f>('Расчёт'!$D$22*A22+'Расчёт'!$D$23*('Параметры'!$B$9-A22))*'Параметры'!$B$52</x:f>
        <x:v>923832</x:v>
      </x:c>
      <x:c r="G22" s="2" t="n">
        <x:f>('Расчёт'!$D$19*A22+'Расчёт'!$D$20*('Параметры'!$B$9-A22))*'Параметры'!$B$53</x:f>
        <x:v>2400000</x:v>
      </x:c>
      <x:c r="H22" s="2" t="n">
        <x:f>('Расчёт'!$F$19*A22+D22*('Параметры'!$B$9-A22))*'Параметры'!$B$53</x:f>
        <x:v>0</x:v>
      </x:c>
      <x:c r="I22" s="2" t="n">
        <x:f>'Расчёт'!$D$33+'Расчёт'!$D$34+'Расчёт'!$D$29+F22+G22</x:f>
        <x:v>15473832</x:v>
      </x:c>
      <x:c r="J22" s="2" t="n">
        <x:f>'Расчёт'!$F$33+'Расчёт'!$F$34+'Расчёт'!$F$29+'Расчёт'!$F$30+'Расчёт'!$F$32+'Расчёт'!$F$26*A22+'Расчёт'!$F$27+E22+H22</x:f>
        <x:v>13998104</x:v>
      </x:c>
      <x:c r="K22" s="2" t="n">
        <x:f>'Расчёт'!$D$28+I22*'Расчёт'!$B$124</x:f>
        <x:v>53422918.15451304</x:v>
      </x:c>
      <x:c r="L22" s="2" t="n">
        <x:f>'Расчёт'!$F$28+J22*'Расчёт'!$B$122+(I22+'Расчёт'!$F$32)*'Расчёт'!$B$123</x:f>
        <x:v>54056624.44250148</x:v>
      </x:c>
      <x:c r="M22" s="2" t="n">
        <x:f>K22-L22</x:f>
        <x:v>-633706.2879884392</x:v>
      </x:c>
      <x:c r="N22" s="2"/>
      <x:c r="O22" s="2"/>
      <x:c r="P22" s="2"/>
      <x:c r="Q22" s="2"/>
      <x:c r="R22" s="2"/>
      <x:c r="S22" s="2"/>
      <x:c r="T22" s="2"/>
    </x:row>
    <x:row r="23">
      <x:c r="A23" s="2" t="n">
        <x:v>10</x:v>
      </x:c>
      <x:c r="B23" s="9" t="n">
        <x:v>0.2</x:v>
      </x:c>
      <x:c r="C23" s="2" t="n">
        <x:f>MIN('Расчёт'!$F$10,'Параметры'!$B$23*(1-'Параметры'!$B$24)*B23)</x:f>
        <x:v>470</x:v>
      </x:c>
      <x:c r="D23" s="2" t="n">
        <x:f>MAX(0,'Расчёт'!$F$6-C23*'Параметры'!$B$25*'Параметры'!$B$26-'Расчёт'!$F$8)</x:f>
        <x:v>0</x:v>
      </x:c>
      <x:c r="E23" s="2" t="n">
        <x:f>('Расчёт'!$F$22*A23+('Расчёт'!$F$6*'Параметры'!$B$49-C23*('Параметры'!$B$49-'Параметры'!$B$51))*('Параметры'!$B$9-A23))*'Параметры'!$B$52</x:f>
        <x:v>749196</x:v>
      </x:c>
      <x:c r="F23" s="2" t="n">
        <x:f>('Расчёт'!$D$22*A23+'Расчёт'!$D$23*('Параметры'!$B$9-A23))*'Параметры'!$B$52</x:f>
        <x:v>923832</x:v>
      </x:c>
      <x:c r="G23" s="2" t="n">
        <x:f>('Расчёт'!$D$19*A23+'Расчёт'!$D$20*('Параметры'!$B$9-A23))*'Параметры'!$B$53</x:f>
        <x:v>2400000</x:v>
      </x:c>
      <x:c r="H23" s="2" t="n">
        <x:f>('Расчёт'!$F$19*A23+D23*('Параметры'!$B$9-A23))*'Параметры'!$B$53</x:f>
        <x:v>0</x:v>
      </x:c>
      <x:c r="I23" s="2" t="n">
        <x:f>'Расчёт'!$D$33+'Расчёт'!$D$34+'Расчёт'!$D$29+F23+G23</x:f>
        <x:v>15473832</x:v>
      </x:c>
      <x:c r="J23" s="2" t="n">
        <x:f>'Расчёт'!$F$33+'Расчёт'!$F$34+'Расчёт'!$F$29+'Расчёт'!$F$30+'Расчёт'!$F$32+'Расчёт'!$F$26*A23+'Расчёт'!$F$27+E23+H23</x:f>
        <x:v>13915196</x:v>
      </x:c>
      <x:c r="K23" s="2" t="n">
        <x:f>'Расчёт'!$D$28+I23*'Расчёт'!$B$124</x:f>
        <x:v>53422918.15451304</x:v>
      </x:c>
      <x:c r="L23" s="2" t="n">
        <x:f>'Расчёт'!$F$28+J23*'Расчёт'!$B$122+(I23+'Расчёт'!$F$32)*'Расчёт'!$B$123</x:f>
        <x:v>53771994.56553536</x:v>
      </x:c>
      <x:c r="M23" s="2" t="n">
        <x:f>K23-L23</x:f>
        <x:v>-349076.4110223204</x:v>
      </x:c>
      <x:c r="N23" s="2"/>
      <x:c r="O23" s="2"/>
      <x:c r="P23" s="2"/>
      <x:c r="Q23" s="2"/>
      <x:c r="R23" s="2"/>
      <x:c r="S23" s="2"/>
      <x:c r="T23" s="2"/>
    </x:row>
    <x:row r="24">
      <x:c r="A24" s="2" t="n">
        <x:v>10</x:v>
      </x:c>
      <x:c r="B24" s="9" t="n">
        <x:v>0.4</x:v>
      </x:c>
      <x:c r="C24" s="2" t="n">
        <x:f>MIN('Расчёт'!$F$10,'Параметры'!$B$23*(1-'Параметры'!$B$24)*B24)</x:f>
        <x:v>940</x:v>
      </x:c>
      <x:c r="D24" s="2" t="n">
        <x:f>MAX(0,'Расчёт'!$F$6-C24*'Параметры'!$B$25*'Параметры'!$B$26-'Расчёт'!$F$8)</x:f>
        <x:v>0</x:v>
      </x:c>
      <x:c r="E24" s="2" t="n">
        <x:f>('Расчёт'!$F$22*A24+('Расчёт'!$F$6*'Параметры'!$B$49-C24*('Параметры'!$B$49-'Параметры'!$B$51))*('Параметры'!$B$9-A24))*'Параметры'!$B$52</x:f>
        <x:v>666288</x:v>
      </x:c>
      <x:c r="F24" s="2" t="n">
        <x:f>('Расчёт'!$D$22*A24+'Расчёт'!$D$23*('Параметры'!$B$9-A24))*'Параметры'!$B$52</x:f>
        <x:v>923832</x:v>
      </x:c>
      <x:c r="G24" s="2" t="n">
        <x:f>('Расчёт'!$D$19*A24+'Расчёт'!$D$20*('Параметры'!$B$9-A24))*'Параметры'!$B$53</x:f>
        <x:v>2400000</x:v>
      </x:c>
      <x:c r="H24" s="2" t="n">
        <x:f>('Расчёт'!$F$19*A24+D24*('Параметры'!$B$9-A24))*'Параметры'!$B$53</x:f>
        <x:v>0</x:v>
      </x:c>
      <x:c r="I24" s="2" t="n">
        <x:f>'Расчёт'!$D$33+'Расчёт'!$D$34+'Расчёт'!$D$29+F24+G24</x:f>
        <x:v>15473832</x:v>
      </x:c>
      <x:c r="J24" s="2" t="n">
        <x:f>'Расчёт'!$F$33+'Расчёт'!$F$34+'Расчёт'!$F$29+'Расчёт'!$F$30+'Расчёт'!$F$32+'Расчёт'!$F$26*A24+'Расчёт'!$F$27+E24+H24</x:f>
        <x:v>13832288</x:v>
      </x:c>
      <x:c r="K24" s="2" t="n">
        <x:f>'Расчёт'!$D$28+I24*'Расчёт'!$B$124</x:f>
        <x:v>53422918.15451304</x:v>
      </x:c>
      <x:c r="L24" s="2" t="n">
        <x:f>'Расчёт'!$F$28+J24*'Расчёт'!$B$122+(I24+'Расчёт'!$F$32)*'Расчёт'!$B$123</x:f>
        <x:v>53487364.68856925</x:v>
      </x:c>
      <x:c r="M24" s="2" t="n">
        <x:f>K24-L24</x:f>
        <x:v>-64446.53405620903</x:v>
      </x:c>
      <x:c r="N24" s="2"/>
      <x:c r="O24" s="2"/>
      <x:c r="P24" s="2"/>
      <x:c r="Q24" s="2"/>
      <x:c r="R24" s="2"/>
      <x:c r="S24" s="2"/>
      <x:c r="T24" s="2"/>
    </x:row>
    <x:row r="25">
      <x:c r="A25" s="2" t="n">
        <x:v>10</x:v>
      </x:c>
      <x:c r="B25" s="9" t="n">
        <x:v>0.6</x:v>
      </x:c>
      <x:c r="C25" s="2" t="n">
        <x:f>MIN('Расчёт'!$F$10,'Параметры'!$B$23*(1-'Параметры'!$B$24)*B25)</x:f>
        <x:v>946.4</x:v>
      </x:c>
      <x:c r="D25" s="2" t="n">
        <x:f>MAX(0,'Расчёт'!$F$6-C25*'Параметры'!$B$25*'Параметры'!$B$26-'Расчёт'!$F$8)</x:f>
        <x:v>0</x:v>
      </x:c>
      <x:c r="E25" s="2" t="n">
        <x:f>('Расчёт'!$F$22*A25+('Расчёт'!$F$6*'Параметры'!$B$49-C25*('Параметры'!$B$49-'Параметры'!$B$51))*('Параметры'!$B$9-A25))*'Параметры'!$B$52</x:f>
        <x:v>665159.0399999999</x:v>
      </x:c>
      <x:c r="F25" s="2" t="n">
        <x:f>('Расчёт'!$D$22*A25+'Расчёт'!$D$23*('Параметры'!$B$9-A25))*'Параметры'!$B$52</x:f>
        <x:v>923832</x:v>
      </x:c>
      <x:c r="G25" s="2" t="n">
        <x:f>('Расчёт'!$D$19*A25+'Расчёт'!$D$20*('Параметры'!$B$9-A25))*'Параметры'!$B$53</x:f>
        <x:v>2400000</x:v>
      </x:c>
      <x:c r="H25" s="2" t="n">
        <x:f>('Расчёт'!$F$19*A25+D25*('Параметры'!$B$9-A25))*'Параметры'!$B$53</x:f>
        <x:v>0</x:v>
      </x:c>
      <x:c r="I25" s="2" t="n">
        <x:f>'Расчёт'!$D$33+'Расчёт'!$D$34+'Расчёт'!$D$29+F25+G25</x:f>
        <x:v>15473832</x:v>
      </x:c>
      <x:c r="J25" s="2" t="n">
        <x:f>'Расчёт'!$F$33+'Расчёт'!$F$34+'Расчёт'!$F$29+'Расчёт'!$F$30+'Расчёт'!$F$32+'Расчёт'!$F$26*A25+'Расчёт'!$F$27+E25+H25</x:f>
        <x:v>13831159.04</x:v>
      </x:c>
      <x:c r="K25" s="2" t="n">
        <x:f>'Расчёт'!$D$28+I25*'Расчёт'!$B$124</x:f>
        <x:v>53422918.15451304</x:v>
      </x:c>
      <x:c r="L25" s="2" t="n">
        <x:f>'Расчёт'!$F$28+J25*'Расчёт'!$B$122+(I25+'Расчёт'!$F$32)*'Расчёт'!$B$123</x:f>
        <x:v>53483488.87747864</x:v>
      </x:c>
      <x:c r="M25" s="2" t="n">
        <x:f>K25-L25</x:f>
        <x:v>-60570.72296559811</x:v>
      </x:c>
      <x:c r="N25" s="2"/>
      <x:c r="O25" s="2"/>
      <x:c r="P25" s="2"/>
      <x:c r="Q25" s="2"/>
      <x:c r="R25" s="2"/>
      <x:c r="S25" s="2"/>
      <x:c r="T25" s="2"/>
    </x:row>
    <x:row r="26">
      <x:c r="A26" s="2" t="n">
        <x:v>10</x:v>
      </x:c>
      <x:c r="B26" s="9" t="n">
        <x:v>0.8</x:v>
      </x:c>
      <x:c r="C26" s="2" t="n">
        <x:f>MIN('Расчёт'!$F$10,'Параметры'!$B$23*(1-'Параметры'!$B$24)*B26)</x:f>
        <x:v>946.4</x:v>
      </x:c>
      <x:c r="D26" s="2" t="n">
        <x:f>MAX(0,'Расчёт'!$F$6-C26*'Параметры'!$B$25*'Параметры'!$B$26-'Расчёт'!$F$8)</x:f>
        <x:v>0</x:v>
      </x:c>
      <x:c r="E26" s="2" t="n">
        <x:f>('Расчёт'!$F$22*A26+('Расчёт'!$F$6*'Параметры'!$B$49-C26*('Параметры'!$B$49-'Параметры'!$B$51))*('Параметры'!$B$9-A26))*'Параметры'!$B$52</x:f>
        <x:v>665159.0399999999</x:v>
      </x:c>
      <x:c r="F26" s="2" t="n">
        <x:f>('Расчёт'!$D$22*A26+'Расчёт'!$D$23*('Параметры'!$B$9-A26))*'Параметры'!$B$52</x:f>
        <x:v>923832</x:v>
      </x:c>
      <x:c r="G26" s="2" t="n">
        <x:f>('Расчёт'!$D$19*A26+'Расчёт'!$D$20*('Параметры'!$B$9-A26))*'Параметры'!$B$53</x:f>
        <x:v>2400000</x:v>
      </x:c>
      <x:c r="H26" s="2" t="n">
        <x:f>('Расчёт'!$F$19*A26+D26*('Параметры'!$B$9-A26))*'Параметры'!$B$53</x:f>
        <x:v>0</x:v>
      </x:c>
      <x:c r="I26" s="2" t="n">
        <x:f>'Расчёт'!$D$33+'Расчёт'!$D$34+'Расчёт'!$D$29+F26+G26</x:f>
        <x:v>15473832</x:v>
      </x:c>
      <x:c r="J26" s="2" t="n">
        <x:f>'Расчёт'!$F$33+'Расчёт'!$F$34+'Расчёт'!$F$29+'Расчёт'!$F$30+'Расчёт'!$F$32+'Расчёт'!$F$26*A26+'Расчёт'!$F$27+E26+H26</x:f>
        <x:v>13831159.04</x:v>
      </x:c>
      <x:c r="K26" s="2" t="n">
        <x:f>'Расчёт'!$D$28+I26*'Расчёт'!$B$124</x:f>
        <x:v>53422918.15451304</x:v>
      </x:c>
      <x:c r="L26" s="2" t="n">
        <x:f>'Расчёт'!$F$28+J26*'Расчёт'!$B$122+(I26+'Расчёт'!$F$32)*'Расчёт'!$B$123</x:f>
        <x:v>53483488.87747864</x:v>
      </x:c>
      <x:c r="M26" s="2" t="n">
        <x:f>K26-L26</x:f>
        <x:v>-60570.72296559811</x:v>
      </x:c>
      <x:c r="N26" s="2"/>
      <x:c r="O26" s="2"/>
      <x:c r="P26" s="2"/>
      <x:c r="Q26" s="2"/>
      <x:c r="R26" s="2"/>
      <x:c r="S26" s="2"/>
      <x:c r="T26" s="2"/>
    </x:row>
    <x:row r="27">
      <x:c r="A27" s="2" t="n">
        <x:v>10</x:v>
      </x:c>
      <x:c r="B27" s="9" t="n">
        <x:v>1</x:v>
      </x:c>
      <x:c r="C27" s="2" t="n">
        <x:f>MIN('Расчёт'!$F$10,'Параметры'!$B$23*(1-'Параметры'!$B$24)*B27)</x:f>
        <x:v>946.4</x:v>
      </x:c>
      <x:c r="D27" s="2" t="n">
        <x:f>MAX(0,'Расчёт'!$F$6-C27*'Параметры'!$B$25*'Параметры'!$B$26-'Расчёт'!$F$8)</x:f>
        <x:v>0</x:v>
      </x:c>
      <x:c r="E27" s="2" t="n">
        <x:f>('Расчёт'!$F$22*A27+('Расчёт'!$F$6*'Параметры'!$B$49-C27*('Параметры'!$B$49-'Параметры'!$B$51))*('Параметры'!$B$9-A27))*'Параметры'!$B$52</x:f>
        <x:v>665159.0399999999</x:v>
      </x:c>
      <x:c r="F27" s="2" t="n">
        <x:f>('Расчёт'!$D$22*A27+'Расчёт'!$D$23*('Параметры'!$B$9-A27))*'Параметры'!$B$52</x:f>
        <x:v>923832</x:v>
      </x:c>
      <x:c r="G27" s="2" t="n">
        <x:f>('Расчёт'!$D$19*A27+'Расчёт'!$D$20*('Параметры'!$B$9-A27))*'Параметры'!$B$53</x:f>
        <x:v>2400000</x:v>
      </x:c>
      <x:c r="H27" s="2" t="n">
        <x:f>('Расчёт'!$F$19*A27+D27*('Параметры'!$B$9-A27))*'Параметры'!$B$53</x:f>
        <x:v>0</x:v>
      </x:c>
      <x:c r="I27" s="2" t="n">
        <x:f>'Расчёт'!$D$33+'Расчёт'!$D$34+'Расчёт'!$D$29+F27+G27</x:f>
        <x:v>15473832</x:v>
      </x:c>
      <x:c r="J27" s="2" t="n">
        <x:f>'Расчёт'!$F$33+'Расчёт'!$F$34+'Расчёт'!$F$29+'Расчёт'!$F$30+'Расчёт'!$F$32+'Расчёт'!$F$26*A27+'Расчёт'!$F$27+E27+H27</x:f>
        <x:v>13831159.04</x:v>
      </x:c>
      <x:c r="K27" s="2" t="n">
        <x:f>'Расчёт'!$D$28+I27*'Расчёт'!$B$124</x:f>
        <x:v>53422918.15451304</x:v>
      </x:c>
      <x:c r="L27" s="2" t="n">
        <x:f>'Расчёт'!$F$28+J27*'Расчёт'!$B$122+(I27+'Расчёт'!$F$32)*'Расчёт'!$B$123</x:f>
        <x:v>53483488.87747864</x:v>
      </x:c>
      <x:c r="M27" s="2" t="n">
        <x:f>K27-L27</x:f>
        <x:v>-60570.72296559811</x:v>
      </x:c>
      <x:c r="N27" s="2"/>
      <x:c r="O27" s="2"/>
      <x:c r="P27" s="2"/>
      <x:c r="Q27" s="2"/>
      <x:c r="R27" s="2"/>
      <x:c r="S27" s="2"/>
      <x:c r="T27" s="2"/>
    </x:row>
    <x:row r="28">
      <x:c r="A28" s="2" t="n">
        <x:v>12</x:v>
      </x:c>
      <x:c r="B28" s="9" t="n">
        <x:v>0</x:v>
      </x:c>
      <x:c r="C28" s="2" t="n">
        <x:f>MIN('Расчёт'!$F$10,'Параметры'!$B$23*(1-'Параметры'!$B$24)*B28)</x:f>
        <x:v>0</x:v>
      </x:c>
      <x:c r="D28" s="2" t="n">
        <x:f>MAX(0,'Расчёт'!$F$6-C28*'Параметры'!$B$25*'Параметры'!$B$26-'Расчёт'!$F$8)</x:f>
        <x:v>0</x:v>
      </x:c>
      <x:c r="E28" s="2" t="n">
        <x:f>('Расчёт'!$F$22*A28+('Расчёт'!$F$6*'Параметры'!$B$49-C28*('Параметры'!$B$49-'Параметры'!$B$51))*('Параметры'!$B$9-A28))*'Параметры'!$B$52</x:f>
        <x:v>850886.4</x:v>
      </x:c>
      <x:c r="F28" s="2" t="n">
        <x:f>('Расчёт'!$D$22*A28+'Расчёт'!$D$23*('Параметры'!$B$9-A28))*'Параметры'!$B$52</x:f>
        <x:v>960960</x:v>
      </x:c>
      <x:c r="G28" s="2" t="n">
        <x:f>('Расчёт'!$D$19*A28+'Расчёт'!$D$20*('Параметры'!$B$9-A28))*'Параметры'!$B$53</x:f>
        <x:v>2880000</x:v>
      </x:c>
      <x:c r="H28" s="2" t="n">
        <x:f>('Расчёт'!$F$19*A28+D28*('Параметры'!$B$9-A28))*'Параметры'!$B$53</x:f>
        <x:v>0</x:v>
      </x:c>
      <x:c r="I28" s="2" t="n">
        <x:f>'Расчёт'!$D$33+'Расчёт'!$D$34+'Расчёт'!$D$29+F28+G28</x:f>
        <x:v>15990960</x:v>
      </x:c>
      <x:c r="J28" s="2" t="n">
        <x:f>'Расчёт'!$F$33+'Расчёт'!$F$34+'Расчёт'!$F$29+'Расчёт'!$F$30+'Расчёт'!$F$32+'Расчёт'!$F$26*A28+'Расчёт'!$F$27+E28+H28</x:f>
        <x:v>14016886.4</x:v>
      </x:c>
      <x:c r="K28" s="2" t="n">
        <x:f>'Расчёт'!$D$28+I28*'Расчёт'!$B$124</x:f>
        <x:v>55198260.44977687</x:v>
      </x:c>
      <x:c r="L28" s="2" t="n">
        <x:f>'Расчёт'!$F$28+J28*'Расчёт'!$B$122+(I28+'Расчёт'!$F$32)*'Расчёт'!$B$123</x:f>
        <x:v>54121105.942490965</x:v>
      </x:c>
      <x:c r="M28" s="2" t="n">
        <x:f>K28-L28</x:f>
        <x:v>1077154.5072859079</x:v>
      </x:c>
      <x:c r="N28" s="2"/>
      <x:c r="O28" s="2"/>
      <x:c r="P28" s="2"/>
      <x:c r="Q28" s="2"/>
      <x:c r="R28" s="2"/>
      <x:c r="S28" s="2"/>
      <x:c r="T28" s="2"/>
    </x:row>
    <x:row r="29">
      <x:c r="A29" s="2" t="n">
        <x:v>12</x:v>
      </x:c>
      <x:c r="B29" s="9" t="n">
        <x:v>0.2</x:v>
      </x:c>
      <x:c r="C29" s="2" t="n">
        <x:f>MIN('Расчёт'!$F$10,'Параметры'!$B$23*(1-'Параметры'!$B$24)*B29)</x:f>
        <x:v>470</x:v>
      </x:c>
      <x:c r="D29" s="2" t="n">
        <x:f>MAX(0,'Расчёт'!$F$6-C29*'Параметры'!$B$25*'Параметры'!$B$26-'Расчёт'!$F$8)</x:f>
        <x:v>0</x:v>
      </x:c>
      <x:c r="E29" s="2" t="n">
        <x:f>('Расчёт'!$F$22*A29+('Расчёт'!$F$6*'Параметры'!$B$49-C29*('Параметры'!$B$49-'Параметры'!$B$51))*('Параметры'!$B$9-A29))*'Параметры'!$B$52</x:f>
        <x:v>771926.4</x:v>
      </x:c>
      <x:c r="F29" s="2" t="n">
        <x:f>('Расчёт'!$D$22*A29+'Расчёт'!$D$23*('Параметры'!$B$9-A29))*'Параметры'!$B$52</x:f>
        <x:v>960960</x:v>
      </x:c>
      <x:c r="G29" s="2" t="n">
        <x:f>('Расчёт'!$D$19*A29+'Расчёт'!$D$20*('Параметры'!$B$9-A29))*'Параметры'!$B$53</x:f>
        <x:v>2880000</x:v>
      </x:c>
      <x:c r="H29" s="2" t="n">
        <x:f>('Расчёт'!$F$19*A29+D29*('Параметры'!$B$9-A29))*'Параметры'!$B$53</x:f>
        <x:v>0</x:v>
      </x:c>
      <x:c r="I29" s="2" t="n">
        <x:f>'Расчёт'!$D$33+'Расчёт'!$D$34+'Расчёт'!$D$29+F29+G29</x:f>
        <x:v>15990960</x:v>
      </x:c>
      <x:c r="J29" s="2" t="n">
        <x:f>'Расчёт'!$F$33+'Расчёт'!$F$34+'Расчёт'!$F$29+'Расчёт'!$F$30+'Расчёт'!$F$32+'Расчёт'!$F$26*A29+'Расчёт'!$F$27+E29+H29</x:f>
        <x:v>13937926.4</x:v>
      </x:c>
      <x:c r="K29" s="2" t="n">
        <x:f>'Расчёт'!$D$28+I29*'Расчёт'!$B$124</x:f>
        <x:v>55198260.44977687</x:v>
      </x:c>
      <x:c r="L29" s="2" t="n">
        <x:f>'Расчёт'!$F$28+J29*'Расчёт'!$B$122+(I29+'Расчёт'!$F$32)*'Расчёт'!$B$123</x:f>
        <x:v>53850029.8691899</x:v>
      </x:c>
      <x:c r="M29" s="2" t="n">
        <x:f>K29-L29</x:f>
        <x:v>1348230.5805869699</x:v>
      </x:c>
      <x:c r="N29" s="2"/>
      <x:c r="O29" s="2"/>
      <x:c r="P29" s="2"/>
      <x:c r="Q29" s="2"/>
      <x:c r="R29" s="2"/>
      <x:c r="S29" s="2"/>
      <x:c r="T29" s="2"/>
    </x:row>
    <x:row r="30">
      <x:c r="A30" s="2" t="n">
        <x:v>12</x:v>
      </x:c>
      <x:c r="B30" s="9" t="n">
        <x:v>0.4</x:v>
      </x:c>
      <x:c r="C30" s="2" t="n">
        <x:f>MIN('Расчёт'!$F$10,'Параметры'!$B$23*(1-'Параметры'!$B$24)*B30)</x:f>
        <x:v>940</x:v>
      </x:c>
      <x:c r="D30" s="2" t="n">
        <x:f>MAX(0,'Расчёт'!$F$6-C30*'Параметры'!$B$25*'Параметры'!$B$26-'Расчёт'!$F$8)</x:f>
        <x:v>0</x:v>
      </x:c>
      <x:c r="E30" s="2" t="n">
        <x:f>('Расчёт'!$F$22*A30+('Расчёт'!$F$6*'Параметры'!$B$49-C30*('Параметры'!$B$49-'Параметры'!$B$51))*('Параметры'!$B$9-A30))*'Параметры'!$B$52</x:f>
        <x:v>692966.4</x:v>
      </x:c>
      <x:c r="F30" s="2" t="n">
        <x:f>('Расчёт'!$D$22*A30+'Расчёт'!$D$23*('Параметры'!$B$9-A30))*'Параметры'!$B$52</x:f>
        <x:v>960960</x:v>
      </x:c>
      <x:c r="G30" s="2" t="n">
        <x:f>('Расчёт'!$D$19*A30+'Расчёт'!$D$20*('Параметры'!$B$9-A30))*'Параметры'!$B$53</x:f>
        <x:v>2880000</x:v>
      </x:c>
      <x:c r="H30" s="2" t="n">
        <x:f>('Расчёт'!$F$19*A30+D30*('Параметры'!$B$9-A30))*'Параметры'!$B$53</x:f>
        <x:v>0</x:v>
      </x:c>
      <x:c r="I30" s="2" t="n">
        <x:f>'Расчёт'!$D$33+'Расчёт'!$D$34+'Расчёт'!$D$29+F30+G30</x:f>
        <x:v>15990960</x:v>
      </x:c>
      <x:c r="J30" s="2" t="n">
        <x:f>'Расчёт'!$F$33+'Расчёт'!$F$34+'Расчёт'!$F$29+'Расчёт'!$F$30+'Расчёт'!$F$32+'Расчёт'!$F$26*A30+'Расчёт'!$F$27+E30+H30</x:f>
        <x:v>13858966.4</x:v>
      </x:c>
      <x:c r="K30" s="2" t="n">
        <x:f>'Расчёт'!$D$28+I30*'Расчёт'!$B$124</x:f>
        <x:v>55198260.44977687</x:v>
      </x:c>
      <x:c r="L30" s="2" t="n">
        <x:f>'Расчёт'!$F$28+J30*'Расчёт'!$B$122+(I30+'Расчёт'!$F$32)*'Расчёт'!$B$123</x:f>
        <x:v>53578953.79588884</x:v>
      </x:c>
      <x:c r="M30" s="2" t="n">
        <x:f>K30-L30</x:f>
        <x:v>1619306.6538880318</x:v>
      </x:c>
      <x:c r="N30" s="2"/>
      <x:c r="O30" s="2"/>
      <x:c r="P30" s="2"/>
      <x:c r="Q30" s="2"/>
      <x:c r="R30" s="2"/>
      <x:c r="S30" s="2"/>
      <x:c r="T30" s="2"/>
    </x:row>
    <x:row r="31">
      <x:c r="A31" s="2" t="n">
        <x:v>12</x:v>
      </x:c>
      <x:c r="B31" s="9" t="n">
        <x:v>0.6</x:v>
      </x:c>
      <x:c r="C31" s="2" t="n">
        <x:f>MIN('Расчёт'!$F$10,'Параметры'!$B$23*(1-'Параметры'!$B$24)*B31)</x:f>
        <x:v>946.4</x:v>
      </x:c>
      <x:c r="D31" s="2" t="n">
        <x:f>MAX(0,'Расчёт'!$F$6-C31*'Параметры'!$B$25*'Параметры'!$B$26-'Расчёт'!$F$8)</x:f>
        <x:v>0</x:v>
      </x:c>
      <x:c r="E31" s="2" t="n">
        <x:f>('Расчёт'!$F$22*A31+('Расчёт'!$F$6*'Параметры'!$B$49-C31*('Параметры'!$B$49-'Параметры'!$B$51))*('Параметры'!$B$9-A31))*'Параметры'!$B$52</x:f>
        <x:v>691891.2000000001</x:v>
      </x:c>
      <x:c r="F31" s="2" t="n">
        <x:f>('Расчёт'!$D$22*A31+'Расчёт'!$D$23*('Параметры'!$B$9-A31))*'Параметры'!$B$52</x:f>
        <x:v>960960</x:v>
      </x:c>
      <x:c r="G31" s="2" t="n">
        <x:f>('Расчёт'!$D$19*A31+'Расчёт'!$D$20*('Параметры'!$B$9-A31))*'Параметры'!$B$53</x:f>
        <x:v>2880000</x:v>
      </x:c>
      <x:c r="H31" s="2" t="n">
        <x:f>('Расчёт'!$F$19*A31+D31*('Параметры'!$B$9-A31))*'Параметры'!$B$53</x:f>
        <x:v>0</x:v>
      </x:c>
      <x:c r="I31" s="2" t="n">
        <x:f>'Расчёт'!$D$33+'Расчёт'!$D$34+'Расчёт'!$D$29+F31+G31</x:f>
        <x:v>15990960</x:v>
      </x:c>
      <x:c r="J31" s="2" t="n">
        <x:f>'Расчёт'!$F$33+'Расчёт'!$F$34+'Расчёт'!$F$29+'Расчёт'!$F$30+'Расчёт'!$F$32+'Расчёт'!$F$26*A31+'Расчёт'!$F$27+E31+H31</x:f>
        <x:v>13857891.2</x:v>
      </x:c>
      <x:c r="K31" s="2" t="n">
        <x:f>'Расчёт'!$D$28+I31*'Расчёт'!$B$124</x:f>
        <x:v>55198260.44977687</x:v>
      </x:c>
      <x:c r="L31" s="2" t="n">
        <x:f>'Расчёт'!$F$28+J31*'Расчёт'!$B$122+(I31+'Расчёт'!$F$32)*'Расчёт'!$B$123</x:f>
        <x:v>53575262.547231115</x:v>
      </x:c>
      <x:c r="M31" s="2" t="n">
        <x:f>K31-L31</x:f>
        <x:v>1622997.9025457576</x:v>
      </x:c>
      <x:c r="N31" s="2"/>
      <x:c r="O31" s="2"/>
      <x:c r="P31" s="2"/>
      <x:c r="Q31" s="2"/>
      <x:c r="R31" s="2"/>
      <x:c r="S31" s="2"/>
      <x:c r="T31" s="2"/>
    </x:row>
    <x:row r="32">
      <x:c r="A32" s="2" t="n">
        <x:v>12</x:v>
      </x:c>
      <x:c r="B32" s="9" t="n">
        <x:v>0.8</x:v>
      </x:c>
      <x:c r="C32" s="2" t="n">
        <x:f>MIN('Расчёт'!$F$10,'Параметры'!$B$23*(1-'Параметры'!$B$24)*B32)</x:f>
        <x:v>946.4</x:v>
      </x:c>
      <x:c r="D32" s="2" t="n">
        <x:f>MAX(0,'Расчёт'!$F$6-C32*'Параметры'!$B$25*'Параметры'!$B$26-'Расчёт'!$F$8)</x:f>
        <x:v>0</x:v>
      </x:c>
      <x:c r="E32" s="2" t="n">
        <x:f>('Расчёт'!$F$22*A32+('Расчёт'!$F$6*'Параметры'!$B$49-C32*('Параметры'!$B$49-'Параметры'!$B$51))*('Параметры'!$B$9-A32))*'Параметры'!$B$52</x:f>
        <x:v>691891.2000000001</x:v>
      </x:c>
      <x:c r="F32" s="2" t="n">
        <x:f>('Расчёт'!$D$22*A32+'Расчёт'!$D$23*('Параметры'!$B$9-A32))*'Параметры'!$B$52</x:f>
        <x:v>960960</x:v>
      </x:c>
      <x:c r="G32" s="2" t="n">
        <x:f>('Расчёт'!$D$19*A32+'Расчёт'!$D$20*('Параметры'!$B$9-A32))*'Параметры'!$B$53</x:f>
        <x:v>2880000</x:v>
      </x:c>
      <x:c r="H32" s="2" t="n">
        <x:f>('Расчёт'!$F$19*A32+D32*('Параметры'!$B$9-A32))*'Параметры'!$B$53</x:f>
        <x:v>0</x:v>
      </x:c>
      <x:c r="I32" s="2" t="n">
        <x:f>'Расчёт'!$D$33+'Расчёт'!$D$34+'Расчёт'!$D$29+F32+G32</x:f>
        <x:v>15990960</x:v>
      </x:c>
      <x:c r="J32" s="2" t="n">
        <x:f>'Расчёт'!$F$33+'Расчёт'!$F$34+'Расчёт'!$F$29+'Расчёт'!$F$30+'Расчёт'!$F$32+'Расчёт'!$F$26*A32+'Расчёт'!$F$27+E32+H32</x:f>
        <x:v>13857891.2</x:v>
      </x:c>
      <x:c r="K32" s="2" t="n">
        <x:f>'Расчёт'!$D$28+I32*'Расчёт'!$B$124</x:f>
        <x:v>55198260.44977687</x:v>
      </x:c>
      <x:c r="L32" s="2" t="n">
        <x:f>'Расчёт'!$F$28+J32*'Расчёт'!$B$122+(I32+'Расчёт'!$F$32)*'Расчёт'!$B$123</x:f>
        <x:v>53575262.547231115</x:v>
      </x:c>
      <x:c r="M32" s="2" t="n">
        <x:f>K32-L32</x:f>
        <x:v>1622997.9025457576</x:v>
      </x:c>
      <x:c r="N32" s="2"/>
      <x:c r="O32" s="2"/>
      <x:c r="P32" s="2"/>
      <x:c r="Q32" s="2"/>
      <x:c r="R32" s="2"/>
      <x:c r="S32" s="2"/>
      <x:c r="T32" s="2"/>
    </x:row>
    <x:row r="33">
      <x:c r="A33" s="2" t="n">
        <x:v>12</x:v>
      </x:c>
      <x:c r="B33" s="9" t="n">
        <x:v>1</x:v>
      </x:c>
      <x:c r="C33" s="2" t="n">
        <x:f>MIN('Расчёт'!$F$10,'Параметры'!$B$23*(1-'Параметры'!$B$24)*B33)</x:f>
        <x:v>946.4</x:v>
      </x:c>
      <x:c r="D33" s="2" t="n">
        <x:f>MAX(0,'Расчёт'!$F$6-C33*'Параметры'!$B$25*'Параметры'!$B$26-'Расчёт'!$F$8)</x:f>
        <x:v>0</x:v>
      </x:c>
      <x:c r="E33" s="2" t="n">
        <x:f>('Расчёт'!$F$22*A33+('Расчёт'!$F$6*'Параметры'!$B$49-C33*('Параметры'!$B$49-'Параметры'!$B$51))*('Параметры'!$B$9-A33))*'Параметры'!$B$52</x:f>
        <x:v>691891.2000000001</x:v>
      </x:c>
      <x:c r="F33" s="2" t="n">
        <x:f>('Расчёт'!$D$22*A33+'Расчёт'!$D$23*('Параметры'!$B$9-A33))*'Параметры'!$B$52</x:f>
        <x:v>960960</x:v>
      </x:c>
      <x:c r="G33" s="2" t="n">
        <x:f>('Расчёт'!$D$19*A33+'Расчёт'!$D$20*('Параметры'!$B$9-A33))*'Параметры'!$B$53</x:f>
        <x:v>2880000</x:v>
      </x:c>
      <x:c r="H33" s="2" t="n">
        <x:f>('Расчёт'!$F$19*A33+D33*('Параметры'!$B$9-A33))*'Параметры'!$B$53</x:f>
        <x:v>0</x:v>
      </x:c>
      <x:c r="I33" s="2" t="n">
        <x:f>'Расчёт'!$D$33+'Расчёт'!$D$34+'Расчёт'!$D$29+F33+G33</x:f>
        <x:v>15990960</x:v>
      </x:c>
      <x:c r="J33" s="2" t="n">
        <x:f>'Расчёт'!$F$33+'Расчёт'!$F$34+'Расчёт'!$F$29+'Расчёт'!$F$30+'Расчёт'!$F$32+'Расчёт'!$F$26*A33+'Расчёт'!$F$27+E33+H33</x:f>
        <x:v>13857891.2</x:v>
      </x:c>
      <x:c r="K33" s="2" t="n">
        <x:f>'Расчёт'!$D$28+I33*'Расчёт'!$B$124</x:f>
        <x:v>55198260.44977687</x:v>
      </x:c>
      <x:c r="L33" s="2" t="n">
        <x:f>'Расчёт'!$F$28+J33*'Расчёт'!$B$122+(I33+'Расчёт'!$F$32)*'Расчёт'!$B$123</x:f>
        <x:v>53575262.547231115</x:v>
      </x:c>
      <x:c r="M33" s="2" t="n">
        <x:f>K33-L33</x:f>
        <x:v>1622997.9025457576</x:v>
      </x:c>
      <x:c r="N33" s="2"/>
      <x:c r="O33" s="2"/>
      <x:c r="P33" s="2"/>
      <x:c r="Q33" s="2"/>
      <x:c r="R33" s="2"/>
      <x:c r="S33" s="2"/>
      <x:c r="T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>
      <x:c r="A35" s="2" t="str">
        <x:v>Сетка объёмов: 2 500–6 500 строк с шагом 50; вне неё вывод не экстраполируется.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9" customHeight="1">
      <x:c r="A36" s="24" t="str">
        <x:v>Пик, строк/нед.</x:v>
      </x:c>
      <x:c r="B36" s="24" t="str">
        <x:v>Экономия vs процесс, ₽</x:v>
      </x:c>
      <x:c r="C36" s="24" t="str">
        <x:v>Экономия vs смены, ₽</x:v>
      </x:c>
      <x:c r="D36" s="24" t="str">
        <x:v>Первый порог vs процесс</x:v>
      </x:c>
      <x:c r="E36" s="24" t="str">
        <x:v>Первый порог vs смены</x:v>
      </x:c>
      <x:c r="F36" s="24" t="str">
        <x:v>Робот: обработано</x:v>
      </x:c>
      <x:c r="G36" s="24" t="str">
        <x:v>Робот: снято труда</x:v>
      </x:c>
      <x:c r="H36" s="24" t="str">
        <x:v>Поздних: процесс</x:v>
      </x:c>
      <x:c r="I36" s="24" t="str">
        <x:v>Временных: смены</x:v>
      </x:c>
      <x:c r="J36" s="24" t="str">
        <x:v>Поздних: смены</x:v>
      </x:c>
      <x:c r="K36" s="24" t="str">
        <x:v>Временных: робот</x:v>
      </x:c>
      <x:c r="L36" s="24" t="str">
        <x:v>Поздних: робот</x:v>
      </x:c>
      <x:c r="M36" s="24" t="str">
        <x:v>Строки временных: смены</x:v>
      </x:c>
      <x:c r="N36" s="24" t="str">
        <x:v>Строки временных: робот</x:v>
      </x:c>
      <x:c r="O36" s="24" t="str">
        <x:v>Процесс: расход/год</x:v>
      </x:c>
      <x:c r="P36" s="24" t="str">
        <x:v>Смены: расход/год</x:v>
      </x:c>
      <x:c r="Q36" s="24" t="str">
        <x:v>Робот: расход/год</x:v>
      </x:c>
      <x:c r="R36" s="24" t="str">
        <x:v>Процесс: ПСЗ</x:v>
      </x:c>
      <x:c r="S36" s="24" t="str">
        <x:v>Смены: ПСЗ</x:v>
      </x:c>
      <x:c r="T36" s="24" t="str">
        <x:v>Робот: ПСЗ</x:v>
      </x:c>
    </x:row>
    <x:row r="37">
      <x:c r="A37" s="3" t="n">
        <x:v>2500</x:v>
      </x:c>
      <x:c r="B37" s="3" t="n">
        <x:f>R37-T37</x:f>
        <x:v>-8559200.287942141</x:v>
      </x:c>
      <x:c r="C37" s="3" t="n">
        <x:f>S37-T37</x:f>
        <x:v>-8559200.287942141</x:v>
      </x:c>
      <x:c r="D37" s="3" t="str">
        <x:f>IF(B37&gt;=0,A37,"")</x:f>
      </x:c>
      <x:c r="E37" s="3" t="str">
        <x:f>IF(C37&gt;=0,A37,"")</x:f>
      </x:c>
      <x:c r="F37" s="3" t="n">
        <x:f>MIN(A37*(1-'Параметры'!$B$14)*'Параметры'!$B$15,'Параметры'!$B$23*(1-'Параметры'!$B$24))</x:f>
        <x:v>1400</x:v>
      </x:c>
      <x:c r="G37" s="3" t="n">
        <x:f>F37*'Параметры'!$B$25*'Параметры'!$B$26</x:f>
        <x:v>773.5</x:v>
      </x:c>
      <x:c r="H37" s="3" t="n">
        <x:f>MAX(0,A37-'Расчёт'!$D$8)</x:f>
        <x:v>0</x:v>
      </x:c>
      <x:c r="I37" s="3" t="n">
        <x:f>IF('Параметры'!$B$21*'Параметры'!$B$22=0,0,ROUNDUP(H37/('Расчёт'!$D$7*'Параметры'!$B$17*'Параметры'!$B$21*'Параметры'!$B$22),0))</x:f>
        <x:v>0</x:v>
      </x:c>
      <x:c r="J37" s="3" t="n">
        <x:f>MAX(0,H37-I37*'Расчёт'!$D$7*'Параметры'!$B$17*'Параметры'!$B$21*'Параметры'!$B$22)</x:f>
        <x:v>0</x:v>
      </x:c>
      <x:c r="K37" s="3" t="n">
        <x:f>IF('Параметры'!$B$21*'Параметры'!$B$22=0,0,ROUNDUP(MAX(0,A37-G37-'Расчёт'!$F$8)/('Расчёт'!$F$7*'Параметры'!$B$17*'Параметры'!$B$21*'Параметры'!$B$22),0))</x:f>
        <x:v>0</x:v>
      </x:c>
      <x:c r="L37" s="3" t="n">
        <x:f>MAX(0,A37-G37-'Расчёт'!$F$8-K37*'Расчёт'!$F$7*'Параметры'!$B$17*'Параметры'!$B$21*'Параметры'!$B$22)</x:f>
        <x:v>0</x:v>
      </x:c>
      <x:c r="M37" s="3" t="n">
        <x:f>MIN(H37,I37*'Расчёт'!$E$7*'Параметры'!$B$17*'Параметры'!$B$21*'Параметры'!$B$22)</x:f>
        <x:v>0</x:v>
      </x:c>
      <x:c r="N37" s="3" t="n">
        <x:f>MIN(MAX(0,A37-G37-'Расчёт'!$F$8),K37*'Расчёт'!$F$7*'Параметры'!$B$17*'Параметры'!$B$21*'Параметры'!$B$22)</x:f>
        <x:v>0</x:v>
      </x:c>
      <x:c r="O37" s="3" t="n">
        <x:f>'Расчёт'!$D$33+'Расчёт'!$D$34+'Расчёт'!$D$29+(A37*'Параметры'!$B$8+'Расчёт'!$D$6*('Параметры'!$B$9-'Параметры'!$B$8))*'Параметры'!$B$49*'Параметры'!$B$52+(H37*'Параметры'!$B$8+'Расчёт'!$D$20*('Параметры'!$B$9-'Параметры'!$B$8))*'Параметры'!$B$53</x:f>
        <x:v>12956232</x:v>
      </x:c>
      <x:c r="P37" s="3" t="n">
        <x:f>'Расчёт'!$E$33+'Расчёт'!$E$34+'Расчёт'!$E$29+I37*('Параметры'!$B$8*'Параметры'!$B$17*'Параметры'!$B$22*'Параметры'!$B$32+'Параметры'!$B$33+'Параметры'!$B$34*'Параметры'!$B$32+'Параметры'!$B$35)+((A37*'Параметры'!$B$8+'Расчёт'!$E$6*('Параметры'!$B$9-'Параметры'!$B$8))*'Параметры'!$B$49+M37*'Параметры'!$B$8*('Параметры'!$B$50-'Параметры'!$B$49))*'Параметры'!$B$52+(J37*'Параметры'!$B$8+'Расчёт'!$E$20*('Параметры'!$B$9-'Параметры'!$B$8))*'Параметры'!$B$53</x:f>
        <x:v>12956232</x:v>
      </x:c>
      <x:c r="Q37" s="3" t="n">
        <x:f>'Расчёт'!$F$33+'Расчёт'!$F$34+'Расчёт'!$F$29+'Расчёт'!$F$30+'Расчёт'!$F$32+K37*('Параметры'!$B$8*'Параметры'!$B$17*'Параметры'!$B$22*'Параметры'!$B$32+'Параметры'!$B$33+'Параметры'!$B$34*'Параметры'!$B$32+'Параметры'!$B$35)+((A37*'Параметры'!$B$8+'Расчёт'!$F$6*('Параметры'!$B$9-'Параметры'!$B$8))*'Параметры'!$B$49-(F37*'Параметры'!$B$8+'Расчёт'!$F$12*('Параметры'!$B$9-'Параметры'!$B$8))*('Параметры'!$B$49-'Параметры'!$B$51)+N37*'Параметры'!$B$8*('Параметры'!$B$50-'Параметры'!$B$49))*'Параметры'!$B$52+(L37*'Параметры'!$B$8+'Расчёт'!$F$20*('Параметры'!$B$9-'Параметры'!$B$8))*'Параметры'!$B$53</x:f>
        <x:v>13789070</x:v>
      </x:c>
      <x:c r="R37" s="3" t="n">
        <x:f>'Расчёт'!$D$28+O37*'Расчёт'!$B$124</x:f>
        <x:v>44779793.50731498</x:v>
      </x:c>
      <x:c r="S37" s="3" t="n">
        <x:f>'Расчёт'!$E$28+P37*'Расчёт'!$B$124</x:f>
        <x:v>44779793.50731498</x:v>
      </x:c>
      <x:c r="T37" s="3" t="n">
        <x:f>'Расчёт'!$F$28+Q37*'Расчёт'!$B$122+(O37+'Расчёт'!$F$32)*'Расчёт'!$B$123</x:f>
        <x:v>53338993.79525712</x:v>
      </x:c>
    </x:row>
    <x:row r="38">
      <x:c r="A38" s="3" t="n">
        <x:v>2550</x:v>
      </x:c>
      <x:c r="B38" s="3" t="n">
        <x:f>R38-T38</x:f>
        <x:v>-8555162.984722763</x:v>
      </x:c>
      <x:c r="C38" s="3" t="n">
        <x:f>S38-T38</x:f>
        <x:v>-8555162.984722763</x:v>
      </x:c>
      <x:c r="D38" s="3" t="str">
        <x:f>IF(AND(B38&gt;=0,B37&lt;0),A37+(A38-A37)*(-B37)/(B38-B37),"")</x:f>
      </x:c>
      <x:c r="E38" s="3" t="str">
        <x:f>IF(AND(C38&gt;=0,C37&lt;0),A37+(A38-A37)*(-C37)/(C38-C37),"")</x:f>
      </x:c>
      <x:c r="F38" s="3" t="n">
        <x:f>MIN(A38*(1-'Параметры'!$B$14)*'Параметры'!$B$15,'Параметры'!$B$23*(1-'Параметры'!$B$24))</x:f>
        <x:v>1428</x:v>
      </x:c>
      <x:c r="G38" s="3" t="n">
        <x:f>F38*'Параметры'!$B$25*'Параметры'!$B$26</x:f>
        <x:v>788.97</x:v>
      </x:c>
      <x:c r="H38" s="3" t="n">
        <x:f>MAX(0,A38-'Расчёт'!$D$8)</x:f>
        <x:v>0</x:v>
      </x:c>
      <x:c r="I38" s="3" t="n">
        <x:f>IF('Параметры'!$B$21*'Параметры'!$B$22=0,0,ROUNDUP(H38/('Расчёт'!$D$7*'Параметры'!$B$17*'Параметры'!$B$21*'Параметры'!$B$22),0))</x:f>
        <x:v>0</x:v>
      </x:c>
      <x:c r="J38" s="3" t="n">
        <x:f>MAX(0,H38-I38*'Расчёт'!$D$7*'Параметры'!$B$17*'Параметры'!$B$21*'Параметры'!$B$22)</x:f>
        <x:v>0</x:v>
      </x:c>
      <x:c r="K38" s="3" t="n">
        <x:f>IF('Параметры'!$B$21*'Параметры'!$B$22=0,0,ROUNDUP(MAX(0,A38-G38-'Расчёт'!$F$8)/('Расчёт'!$F$7*'Параметры'!$B$17*'Параметры'!$B$21*'Параметры'!$B$22),0))</x:f>
        <x:v>0</x:v>
      </x:c>
      <x:c r="L38" s="3" t="n">
        <x:f>MAX(0,A38-G38-'Расчёт'!$F$8-K38*'Расчёт'!$F$7*'Параметры'!$B$17*'Параметры'!$B$21*'Параметры'!$B$22)</x:f>
        <x:v>0</x:v>
      </x:c>
      <x:c r="M38" s="3" t="n">
        <x:f>MIN(H38,I38*'Расчёт'!$E$7*'Параметры'!$B$17*'Параметры'!$B$21*'Параметры'!$B$22)</x:f>
        <x:v>0</x:v>
      </x:c>
      <x:c r="N38" s="3" t="n">
        <x:f>MIN(MAX(0,A38-G38-'Расчёт'!$F$8),K38*'Расчёт'!$F$7*'Параметры'!$B$17*'Параметры'!$B$21*'Параметры'!$B$22)</x:f>
        <x:v>0</x:v>
      </x:c>
      <x:c r="O38" s="3" t="n">
        <x:f>'Расчёт'!$D$33+'Расчёт'!$D$34+'Расчёт'!$D$29+(A38*'Параметры'!$B$8+'Расчёт'!$D$6*('Параметры'!$B$9-'Параметры'!$B$8))*'Параметры'!$B$49*'Параметры'!$B$52+(H38*'Параметры'!$B$8+'Расчёт'!$D$20*('Параметры'!$B$9-'Параметры'!$B$8))*'Параметры'!$B$53</x:f>
        <x:v>12960432</x:v>
      </x:c>
      <x:c r="P38" s="3" t="n">
        <x:f>'Расчёт'!$E$33+'Расчёт'!$E$34+'Расчёт'!$E$29+I38*('Параметры'!$B$8*'Параметры'!$B$17*'Параметры'!$B$22*'Параметры'!$B$32+'Параметры'!$B$33+'Параметры'!$B$34*'Параметры'!$B$32+'Параметры'!$B$35)+((A38*'Параметры'!$B$8+'Расчёт'!$E$6*('Параметры'!$B$9-'Параметры'!$B$8))*'Параметры'!$B$49+M38*'Параметры'!$B$8*('Параметры'!$B$50-'Параметры'!$B$49))*'Параметры'!$B$52+(J38*'Параметры'!$B$8+'Расчёт'!$E$20*('Параметры'!$B$9-'Параметры'!$B$8))*'Параметры'!$B$53</x:f>
        <x:v>12960432</x:v>
      </x:c>
      <x:c r="Q38" s="3" t="n">
        <x:f>'Расчёт'!$F$33+'Расчёт'!$F$34+'Расчёт'!$F$29+'Расчёт'!$F$30+'Расчёт'!$F$32+K38*('Параметры'!$B$8*'Параметры'!$B$17*'Параметры'!$B$22*'Параметры'!$B$32+'Параметры'!$B$33+'Параметры'!$B$34*'Параметры'!$B$32+'Параметры'!$B$35)+((A38*'Параметры'!$B$8+'Расчёт'!$F$6*('Параметры'!$B$9-'Параметры'!$B$8))*'Параметры'!$B$49-(F38*'Параметры'!$B$8+'Расчёт'!$F$12*('Параметры'!$B$9-'Параметры'!$B$8))*('Параметры'!$B$49-'Параметры'!$B$51)+N38*'Параметры'!$B$8*('Параметры'!$B$50-'Параметры'!$B$49))*'Параметры'!$B$52+(L38*'Параметры'!$B$8+'Расчёт'!$F$20*('Параметры'!$B$9-'Параметры'!$B$8))*'Параметры'!$B$53</x:f>
        <x:v>13792094</x:v>
      </x:c>
      <x:c r="R38" s="3" t="n">
        <x:f>'Расчёт'!$D$28+O38*'Расчёт'!$B$124</x:f>
        <x:v>44794212.447384186</x:v>
      </x:c>
      <x:c r="S38" s="3" t="n">
        <x:f>'Расчёт'!$E$28+P38*'Расчёт'!$B$124</x:f>
        <x:v>44794212.447384186</x:v>
      </x:c>
      <x:c r="T38" s="3" t="n">
        <x:f>'Расчёт'!$F$28+Q38*'Расчёт'!$B$122+(O38+'Расчёт'!$F$32)*'Расчёт'!$B$123</x:f>
        <x:v>53349375.43210695</x:v>
      </x:c>
    </x:row>
    <x:row r="39">
      <x:c r="A39" s="3" t="n">
        <x:v>2600</x:v>
      </x:c>
      <x:c r="B39" s="3" t="n">
        <x:f>R39-T39</x:f>
        <x:v>-8551125.681503385</x:v>
      </x:c>
      <x:c r="C39" s="3" t="n">
        <x:f>S39-T39</x:f>
        <x:v>-8551125.681503385</x:v>
      </x:c>
      <x:c r="D39" s="3" t="str">
        <x:f>IF(AND(B39&gt;=0,B38&lt;0),A38+(A39-A38)*(-B38)/(B39-B38),"")</x:f>
      </x:c>
      <x:c r="E39" s="3" t="str">
        <x:f>IF(AND(C39&gt;=0,C38&lt;0),A38+(A39-A38)*(-C38)/(C39-C38),"")</x:f>
      </x:c>
      <x:c r="F39" s="3" t="n">
        <x:f>MIN(A39*(1-'Параметры'!$B$14)*'Параметры'!$B$15,'Параметры'!$B$23*(1-'Параметры'!$B$24))</x:f>
        <x:v>1456</x:v>
      </x:c>
      <x:c r="G39" s="3" t="n">
        <x:f>F39*'Параметры'!$B$25*'Параметры'!$B$26</x:f>
        <x:v>804.4399999999999</x:v>
      </x:c>
      <x:c r="H39" s="3" t="n">
        <x:f>MAX(0,A39-'Расчёт'!$D$8)</x:f>
        <x:v>0</x:v>
      </x:c>
      <x:c r="I39" s="3" t="n">
        <x:f>IF('Параметры'!$B$21*'Параметры'!$B$22=0,0,ROUNDUP(H39/('Расчёт'!$D$7*'Параметры'!$B$17*'Параметры'!$B$21*'Параметры'!$B$22),0))</x:f>
        <x:v>0</x:v>
      </x:c>
      <x:c r="J39" s="3" t="n">
        <x:f>MAX(0,H39-I39*'Расчёт'!$D$7*'Параметры'!$B$17*'Параметры'!$B$21*'Параметры'!$B$22)</x:f>
        <x:v>0</x:v>
      </x:c>
      <x:c r="K39" s="3" t="n">
        <x:f>IF('Параметры'!$B$21*'Параметры'!$B$22=0,0,ROUNDUP(MAX(0,A39-G39-'Расчёт'!$F$8)/('Расчёт'!$F$7*'Параметры'!$B$17*'Параметры'!$B$21*'Параметры'!$B$22),0))</x:f>
        <x:v>0</x:v>
      </x:c>
      <x:c r="L39" s="3" t="n">
        <x:f>MAX(0,A39-G39-'Расчёт'!$F$8-K39*'Расчёт'!$F$7*'Параметры'!$B$17*'Параметры'!$B$21*'Параметры'!$B$22)</x:f>
        <x:v>0</x:v>
      </x:c>
      <x:c r="M39" s="3" t="n">
        <x:f>MIN(H39,I39*'Расчёт'!$E$7*'Параметры'!$B$17*'Параметры'!$B$21*'Параметры'!$B$22)</x:f>
        <x:v>0</x:v>
      </x:c>
      <x:c r="N39" s="3" t="n">
        <x:f>MIN(MAX(0,A39-G39-'Расчёт'!$F$8),K39*'Расчёт'!$F$7*'Параметры'!$B$17*'Параметры'!$B$21*'Параметры'!$B$22)</x:f>
        <x:v>0</x:v>
      </x:c>
      <x:c r="O39" s="3" t="n">
        <x:f>'Расчёт'!$D$33+'Расчёт'!$D$34+'Расчёт'!$D$29+(A39*'Параметры'!$B$8+'Расчёт'!$D$6*('Параметры'!$B$9-'Параметры'!$B$8))*'Параметры'!$B$49*'Параметры'!$B$52+(H39*'Параметры'!$B$8+'Расчёт'!$D$20*('Параметры'!$B$9-'Параметры'!$B$8))*'Параметры'!$B$53</x:f>
        <x:v>12964632</x:v>
      </x:c>
      <x:c r="P39" s="3" t="n">
        <x:f>'Расчёт'!$E$33+'Расчёт'!$E$34+'Расчёт'!$E$29+I39*('Параметры'!$B$8*'Параметры'!$B$17*'Параметры'!$B$22*'Параметры'!$B$32+'Параметры'!$B$33+'Параметры'!$B$34*'Параметры'!$B$32+'Параметры'!$B$35)+((A39*'Параметры'!$B$8+'Расчёт'!$E$6*('Параметры'!$B$9-'Параметры'!$B$8))*'Параметры'!$B$49+M39*'Параметры'!$B$8*('Параметры'!$B$50-'Параметры'!$B$49))*'Параметры'!$B$52+(J39*'Параметры'!$B$8+'Расчёт'!$E$20*('Параметры'!$B$9-'Параметры'!$B$8))*'Параметры'!$B$53</x:f>
        <x:v>12964632</x:v>
      </x:c>
      <x:c r="Q39" s="3" t="n">
        <x:f>'Расчёт'!$F$33+'Расчёт'!$F$34+'Расчёт'!$F$29+'Расчёт'!$F$30+'Расчёт'!$F$32+K39*('Параметры'!$B$8*'Параметры'!$B$17*'Параметры'!$B$22*'Параметры'!$B$32+'Параметры'!$B$33+'Параметры'!$B$34*'Параметры'!$B$32+'Параметры'!$B$35)+((A39*'Параметры'!$B$8+'Расчёт'!$F$6*('Параметры'!$B$9-'Параметры'!$B$8))*'Параметры'!$B$49-(F39*'Параметры'!$B$8+'Расчёт'!$F$12*('Параметры'!$B$9-'Параметры'!$B$8))*('Параметры'!$B$49-'Параметры'!$B$51)+N39*'Параметры'!$B$8*('Параметры'!$B$50-'Параметры'!$B$49))*'Параметры'!$B$52+(L39*'Параметры'!$B$8+'Расчёт'!$F$20*('Параметры'!$B$9-'Параметры'!$B$8))*'Параметры'!$B$53</x:f>
        <x:v>13795118</x:v>
      </x:c>
      <x:c r="R39" s="3" t="n">
        <x:f>'Расчёт'!$D$28+O39*'Расчёт'!$B$124</x:f>
        <x:v>44808631.38745339</x:v>
      </x:c>
      <x:c r="S39" s="3" t="n">
        <x:f>'Расчёт'!$E$28+P39*'Расчёт'!$B$124</x:f>
        <x:v>44808631.38745339</x:v>
      </x:c>
      <x:c r="T39" s="3" t="n">
        <x:f>'Расчёт'!$F$28+Q39*'Расчёт'!$B$122+(O39+'Расчёт'!$F$32)*'Расчёт'!$B$123</x:f>
        <x:v>53359757.06895678</x:v>
      </x:c>
    </x:row>
    <x:row r="40">
      <x:c r="A40" s="3" t="n">
        <x:v>2650</x:v>
      </x:c>
      <x:c r="B40" s="3" t="n">
        <x:f>R40-T40</x:f>
        <x:v>-8547088.378284015</x:v>
      </x:c>
      <x:c r="C40" s="3" t="n">
        <x:f>S40-T40</x:f>
        <x:v>-8547088.378284015</x:v>
      </x:c>
      <x:c r="D40" s="3" t="str">
        <x:f>IF(AND(B40&gt;=0,B39&lt;0),A39+(A40-A39)*(-B39)/(B40-B39),"")</x:f>
      </x:c>
      <x:c r="E40" s="3" t="str">
        <x:f>IF(AND(C40&gt;=0,C39&lt;0),A39+(A40-A39)*(-C39)/(C40-C39),"")</x:f>
      </x:c>
      <x:c r="F40" s="3" t="n">
        <x:f>MIN(A40*(1-'Параметры'!$B$14)*'Параметры'!$B$15,'Параметры'!$B$23*(1-'Параметры'!$B$24))</x:f>
        <x:v>1484</x:v>
      </x:c>
      <x:c r="G40" s="3" t="n">
        <x:f>F40*'Параметры'!$B$25*'Параметры'!$B$26</x:f>
        <x:v>819.91</x:v>
      </x:c>
      <x:c r="H40" s="3" t="n">
        <x:f>MAX(0,A40-'Расчёт'!$D$8)</x:f>
        <x:v>0</x:v>
      </x:c>
      <x:c r="I40" s="3" t="n">
        <x:f>IF('Параметры'!$B$21*'Параметры'!$B$22=0,0,ROUNDUP(H40/('Расчёт'!$D$7*'Параметры'!$B$17*'Параметры'!$B$21*'Параметры'!$B$22),0))</x:f>
        <x:v>0</x:v>
      </x:c>
      <x:c r="J40" s="3" t="n">
        <x:f>MAX(0,H40-I40*'Расчёт'!$D$7*'Параметры'!$B$17*'Параметры'!$B$21*'Параметры'!$B$22)</x:f>
        <x:v>0</x:v>
      </x:c>
      <x:c r="K40" s="3" t="n">
        <x:f>IF('Параметры'!$B$21*'Параметры'!$B$22=0,0,ROUNDUP(MAX(0,A40-G40-'Расчёт'!$F$8)/('Расчёт'!$F$7*'Параметры'!$B$17*'Параметры'!$B$21*'Параметры'!$B$22),0))</x:f>
        <x:v>0</x:v>
      </x:c>
      <x:c r="L40" s="3" t="n">
        <x:f>MAX(0,A40-G40-'Расчёт'!$F$8-K40*'Расчёт'!$F$7*'Параметры'!$B$17*'Параметры'!$B$21*'Параметры'!$B$22)</x:f>
        <x:v>0</x:v>
      </x:c>
      <x:c r="M40" s="3" t="n">
        <x:f>MIN(H40,I40*'Расчёт'!$E$7*'Параметры'!$B$17*'Параметры'!$B$21*'Параметры'!$B$22)</x:f>
        <x:v>0</x:v>
      </x:c>
      <x:c r="N40" s="3" t="n">
        <x:f>MIN(MAX(0,A40-G40-'Расчёт'!$F$8),K40*'Расчёт'!$F$7*'Параметры'!$B$17*'Параметры'!$B$21*'Параметры'!$B$22)</x:f>
        <x:v>0</x:v>
      </x:c>
      <x:c r="O40" s="3" t="n">
        <x:f>'Расчёт'!$D$33+'Расчёт'!$D$34+'Расчёт'!$D$29+(A40*'Параметры'!$B$8+'Расчёт'!$D$6*('Параметры'!$B$9-'Параметры'!$B$8))*'Параметры'!$B$49*'Параметры'!$B$52+(H40*'Параметры'!$B$8+'Расчёт'!$D$20*('Параметры'!$B$9-'Параметры'!$B$8))*'Параметры'!$B$53</x:f>
        <x:v>12968832</x:v>
      </x:c>
      <x:c r="P40" s="3" t="n">
        <x:f>'Расчёт'!$E$33+'Расчёт'!$E$34+'Расчёт'!$E$29+I40*('Параметры'!$B$8*'Параметры'!$B$17*'Параметры'!$B$22*'Параметры'!$B$32+'Параметры'!$B$33+'Параметры'!$B$34*'Параметры'!$B$32+'Параметры'!$B$35)+((A40*'Параметры'!$B$8+'Расчёт'!$E$6*('Параметры'!$B$9-'Параметры'!$B$8))*'Параметры'!$B$49+M40*'Параметры'!$B$8*('Параметры'!$B$50-'Параметры'!$B$49))*'Параметры'!$B$52+(J40*'Параметры'!$B$8+'Расчёт'!$E$20*('Параметры'!$B$9-'Параметры'!$B$8))*'Параметры'!$B$53</x:f>
        <x:v>12968832</x:v>
      </x:c>
      <x:c r="Q40" s="3" t="n">
        <x:f>'Расчёт'!$F$33+'Расчёт'!$F$34+'Расчёт'!$F$29+'Расчёт'!$F$30+'Расчёт'!$F$32+K40*('Параметры'!$B$8*'Параметры'!$B$17*'Параметры'!$B$22*'Параметры'!$B$32+'Параметры'!$B$33+'Параметры'!$B$34*'Параметры'!$B$32+'Параметры'!$B$35)+((A40*'Параметры'!$B$8+'Расчёт'!$F$6*('Параметры'!$B$9-'Параметры'!$B$8))*'Параметры'!$B$49-(F40*'Параметры'!$B$8+'Расчёт'!$F$12*('Параметры'!$B$9-'Параметры'!$B$8))*('Параметры'!$B$49-'Параметры'!$B$51)+N40*'Параметры'!$B$8*('Параметры'!$B$50-'Параметры'!$B$49))*'Параметры'!$B$52+(L40*'Параметры'!$B$8+'Расчёт'!$F$20*('Параметры'!$B$9-'Параметры'!$B$8))*'Параметры'!$B$53</x:f>
        <x:v>13798142</x:v>
      </x:c>
      <x:c r="R40" s="3" t="n">
        <x:f>'Расчёт'!$D$28+O40*'Расчёт'!$B$124</x:f>
        <x:v>44823050.32752259</x:v>
      </x:c>
      <x:c r="S40" s="3" t="n">
        <x:f>'Расчёт'!$E$28+P40*'Расчёт'!$B$124</x:f>
        <x:v>44823050.32752259</x:v>
      </x:c>
      <x:c r="T40" s="3" t="n">
        <x:f>'Расчёт'!$F$28+Q40*'Расчёт'!$B$122+(O40+'Расчёт'!$F$32)*'Расчёт'!$B$123</x:f>
        <x:v>53370138.705806606</x:v>
      </x:c>
    </x:row>
    <x:row r="41">
      <x:c r="A41" s="3" t="n">
        <x:v>2700</x:v>
      </x:c>
      <x:c r="B41" s="3" t="n">
        <x:f>R41-T41</x:f>
        <x:v>-8543051.075064637</x:v>
      </x:c>
      <x:c r="C41" s="3" t="n">
        <x:f>S41-T41</x:f>
        <x:v>-8543051.075064637</x:v>
      </x:c>
      <x:c r="D41" s="3" t="str">
        <x:f>IF(AND(B41&gt;=0,B40&lt;0),A40+(A41-A40)*(-B40)/(B41-B40),"")</x:f>
      </x:c>
      <x:c r="E41" s="3" t="str">
        <x:f>IF(AND(C41&gt;=0,C40&lt;0),A40+(A41-A40)*(-C40)/(C41-C40),"")</x:f>
      </x:c>
      <x:c r="F41" s="3" t="n">
        <x:f>MIN(A41*(1-'Параметры'!$B$14)*'Параметры'!$B$15,'Параметры'!$B$23*(1-'Параметры'!$B$24))</x:f>
        <x:v>1512</x:v>
      </x:c>
      <x:c r="G41" s="3" t="n">
        <x:f>F41*'Параметры'!$B$25*'Параметры'!$B$26</x:f>
        <x:v>835.38</x:v>
      </x:c>
      <x:c r="H41" s="3" t="n">
        <x:f>MAX(0,A41-'Расчёт'!$D$8)</x:f>
        <x:v>0</x:v>
      </x:c>
      <x:c r="I41" s="3" t="n">
        <x:f>IF('Параметры'!$B$21*'Параметры'!$B$22=0,0,ROUNDUP(H41/('Расчёт'!$D$7*'Параметры'!$B$17*'Параметры'!$B$21*'Параметры'!$B$22),0))</x:f>
        <x:v>0</x:v>
      </x:c>
      <x:c r="J41" s="3" t="n">
        <x:f>MAX(0,H41-I41*'Расчёт'!$D$7*'Параметры'!$B$17*'Параметры'!$B$21*'Параметры'!$B$22)</x:f>
        <x:v>0</x:v>
      </x:c>
      <x:c r="K41" s="3" t="n">
        <x:f>IF('Параметры'!$B$21*'Параметры'!$B$22=0,0,ROUNDUP(MAX(0,A41-G41-'Расчёт'!$F$8)/('Расчёт'!$F$7*'Параметры'!$B$17*'Параметры'!$B$21*'Параметры'!$B$22),0))</x:f>
        <x:v>0</x:v>
      </x:c>
      <x:c r="L41" s="3" t="n">
        <x:f>MAX(0,A41-G41-'Расчёт'!$F$8-K41*'Расчёт'!$F$7*'Параметры'!$B$17*'Параметры'!$B$21*'Параметры'!$B$22)</x:f>
        <x:v>0</x:v>
      </x:c>
      <x:c r="M41" s="3" t="n">
        <x:f>MIN(H41,I41*'Расчёт'!$E$7*'Параметры'!$B$17*'Параметры'!$B$21*'Параметры'!$B$22)</x:f>
        <x:v>0</x:v>
      </x:c>
      <x:c r="N41" s="3" t="n">
        <x:f>MIN(MAX(0,A41-G41-'Расчёт'!$F$8),K41*'Расчёт'!$F$7*'Параметры'!$B$17*'Параметры'!$B$21*'Параметры'!$B$22)</x:f>
        <x:v>0</x:v>
      </x:c>
      <x:c r="O41" s="3" t="n">
        <x:f>'Расчёт'!$D$33+'Расчёт'!$D$34+'Расчёт'!$D$29+(A41*'Параметры'!$B$8+'Расчёт'!$D$6*('Параметры'!$B$9-'Параметры'!$B$8))*'Параметры'!$B$49*'Параметры'!$B$52+(H41*'Параметры'!$B$8+'Расчёт'!$D$20*('Параметры'!$B$9-'Параметры'!$B$8))*'Параметры'!$B$53</x:f>
        <x:v>12973032</x:v>
      </x:c>
      <x:c r="P41" s="3" t="n">
        <x:f>'Расчёт'!$E$33+'Расчёт'!$E$34+'Расчёт'!$E$29+I41*('Параметры'!$B$8*'Параметры'!$B$17*'Параметры'!$B$22*'Параметры'!$B$32+'Параметры'!$B$33+'Параметры'!$B$34*'Параметры'!$B$32+'Параметры'!$B$35)+((A41*'Параметры'!$B$8+'Расчёт'!$E$6*('Параметры'!$B$9-'Параметры'!$B$8))*'Параметры'!$B$49+M41*'Параметры'!$B$8*('Параметры'!$B$50-'Параметры'!$B$49))*'Параметры'!$B$52+(J41*'Параметры'!$B$8+'Расчёт'!$E$20*('Параметры'!$B$9-'Параметры'!$B$8))*'Параметры'!$B$53</x:f>
        <x:v>12973032</x:v>
      </x:c>
      <x:c r="Q41" s="3" t="n">
        <x:f>'Расчёт'!$F$33+'Расчёт'!$F$34+'Расчёт'!$F$29+'Расчёт'!$F$30+'Расчёт'!$F$32+K41*('Параметры'!$B$8*'Параметры'!$B$17*'Параметры'!$B$22*'Параметры'!$B$32+'Параметры'!$B$33+'Параметры'!$B$34*'Параметры'!$B$32+'Параметры'!$B$35)+((A41*'Параметры'!$B$8+'Расчёт'!$F$6*('Параметры'!$B$9-'Параметры'!$B$8))*'Параметры'!$B$49-(F41*'Параметры'!$B$8+'Расчёт'!$F$12*('Параметры'!$B$9-'Параметры'!$B$8))*('Параметры'!$B$49-'Параметры'!$B$51)+N41*'Параметры'!$B$8*('Параметры'!$B$50-'Параметры'!$B$49))*'Параметры'!$B$52+(L41*'Параметры'!$B$8+'Расчёт'!$F$20*('Параметры'!$B$9-'Параметры'!$B$8))*'Параметры'!$B$53</x:f>
        <x:v>13801166</x:v>
      </x:c>
      <x:c r="R41" s="3" t="n">
        <x:f>'Расчёт'!$D$28+O41*'Расчёт'!$B$124</x:f>
        <x:v>44837469.2675918</x:v>
      </x:c>
      <x:c r="S41" s="3" t="n">
        <x:f>'Расчёт'!$E$28+P41*'Расчёт'!$B$124</x:f>
        <x:v>44837469.2675918</x:v>
      </x:c>
      <x:c r="T41" s="3" t="n">
        <x:f>'Расчёт'!$F$28+Q41*'Расчёт'!$B$122+(O41+'Расчёт'!$F$32)*'Расчёт'!$B$123</x:f>
        <x:v>53380520.34265643</x:v>
      </x:c>
    </x:row>
    <x:row r="42">
      <x:c r="A42" s="3" t="n">
        <x:v>2750</x:v>
      </x:c>
      <x:c r="B42" s="3" t="n">
        <x:f>R42-T42</x:f>
        <x:v>-8539013.771845259</x:v>
      </x:c>
      <x:c r="C42" s="3" t="n">
        <x:f>S42-T42</x:f>
        <x:v>-8539013.771845259</x:v>
      </x:c>
      <x:c r="D42" s="3" t="str">
        <x:f>IF(AND(B42&gt;=0,B41&lt;0),A41+(A42-A41)*(-B41)/(B42-B41),"")</x:f>
      </x:c>
      <x:c r="E42" s="3" t="str">
        <x:f>IF(AND(C42&gt;=0,C41&lt;0),A41+(A42-A41)*(-C41)/(C42-C41),"")</x:f>
      </x:c>
      <x:c r="F42" s="3" t="n">
        <x:f>MIN(A42*(1-'Параметры'!$B$14)*'Параметры'!$B$15,'Параметры'!$B$23*(1-'Параметры'!$B$24))</x:f>
        <x:v>1540</x:v>
      </x:c>
      <x:c r="G42" s="3" t="n">
        <x:f>F42*'Параметры'!$B$25*'Параметры'!$B$26</x:f>
        <x:v>850.85</x:v>
      </x:c>
      <x:c r="H42" s="3" t="n">
        <x:f>MAX(0,A42-'Расчёт'!$D$8)</x:f>
        <x:v>0</x:v>
      </x:c>
      <x:c r="I42" s="3" t="n">
        <x:f>IF('Параметры'!$B$21*'Параметры'!$B$22=0,0,ROUNDUP(H42/('Расчёт'!$D$7*'Параметры'!$B$17*'Параметры'!$B$21*'Параметры'!$B$22),0))</x:f>
        <x:v>0</x:v>
      </x:c>
      <x:c r="J42" s="3" t="n">
        <x:f>MAX(0,H42-I42*'Расчёт'!$D$7*'Параметры'!$B$17*'Параметры'!$B$21*'Параметры'!$B$22)</x:f>
        <x:v>0</x:v>
      </x:c>
      <x:c r="K42" s="3" t="n">
        <x:f>IF('Параметры'!$B$21*'Параметры'!$B$22=0,0,ROUNDUP(MAX(0,A42-G42-'Расчёт'!$F$8)/('Расчёт'!$F$7*'Параметры'!$B$17*'Параметры'!$B$21*'Параметры'!$B$22),0))</x:f>
        <x:v>0</x:v>
      </x:c>
      <x:c r="L42" s="3" t="n">
        <x:f>MAX(0,A42-G42-'Расчёт'!$F$8-K42*'Расчёт'!$F$7*'Параметры'!$B$17*'Параметры'!$B$21*'Параметры'!$B$22)</x:f>
        <x:v>0</x:v>
      </x:c>
      <x:c r="M42" s="3" t="n">
        <x:f>MIN(H42,I42*'Расчёт'!$E$7*'Параметры'!$B$17*'Параметры'!$B$21*'Параметры'!$B$22)</x:f>
        <x:v>0</x:v>
      </x:c>
      <x:c r="N42" s="3" t="n">
        <x:f>MIN(MAX(0,A42-G42-'Расчёт'!$F$8),K42*'Расчёт'!$F$7*'Параметры'!$B$17*'Параметры'!$B$21*'Параметры'!$B$22)</x:f>
        <x:v>0</x:v>
      </x:c>
      <x:c r="O42" s="3" t="n">
        <x:f>'Расчёт'!$D$33+'Расчёт'!$D$34+'Расчёт'!$D$29+(A42*'Параметры'!$B$8+'Расчёт'!$D$6*('Параметры'!$B$9-'Параметры'!$B$8))*'Параметры'!$B$49*'Параметры'!$B$52+(H42*'Параметры'!$B$8+'Расчёт'!$D$20*('Параметры'!$B$9-'Параметры'!$B$8))*'Параметры'!$B$53</x:f>
        <x:v>12977232</x:v>
      </x:c>
      <x:c r="P42" s="3" t="n">
        <x:f>'Расчёт'!$E$33+'Расчёт'!$E$34+'Расчёт'!$E$29+I42*('Параметры'!$B$8*'Параметры'!$B$17*'Параметры'!$B$22*'Параметры'!$B$32+'Параметры'!$B$33+'Параметры'!$B$34*'Параметры'!$B$32+'Параметры'!$B$35)+((A42*'Параметры'!$B$8+'Расчёт'!$E$6*('Параметры'!$B$9-'Параметры'!$B$8))*'Параметры'!$B$49+M42*'Параметры'!$B$8*('Параметры'!$B$50-'Параметры'!$B$49))*'Параметры'!$B$52+(J42*'Параметры'!$B$8+'Расчёт'!$E$20*('Параметры'!$B$9-'Параметры'!$B$8))*'Параметры'!$B$53</x:f>
        <x:v>12977232</x:v>
      </x:c>
      <x:c r="Q42" s="3" t="n">
        <x:f>'Расчёт'!$F$33+'Расчёт'!$F$34+'Расчёт'!$F$29+'Расчёт'!$F$30+'Расчёт'!$F$32+K42*('Параметры'!$B$8*'Параметры'!$B$17*'Параметры'!$B$22*'Параметры'!$B$32+'Параметры'!$B$33+'Параметры'!$B$34*'Параметры'!$B$32+'Параметры'!$B$35)+((A42*'Параметры'!$B$8+'Расчёт'!$F$6*('Параметры'!$B$9-'Параметры'!$B$8))*'Параметры'!$B$49-(F42*'Параметры'!$B$8+'Расчёт'!$F$12*('Параметры'!$B$9-'Параметры'!$B$8))*('Параметры'!$B$49-'Параметры'!$B$51)+N42*'Параметры'!$B$8*('Параметры'!$B$50-'Параметры'!$B$49))*'Параметры'!$B$52+(L42*'Параметры'!$B$8+'Расчёт'!$F$20*('Параметры'!$B$9-'Параметры'!$B$8))*'Параметры'!$B$53</x:f>
        <x:v>13804190</x:v>
      </x:c>
      <x:c r="R42" s="3" t="n">
        <x:f>'Расчёт'!$D$28+O42*'Расчёт'!$B$124</x:f>
        <x:v>44851888.207661</x:v>
      </x:c>
      <x:c r="S42" s="3" t="n">
        <x:f>'Расчёт'!$E$28+P42*'Расчёт'!$B$124</x:f>
        <x:v>44851888.207661</x:v>
      </x:c>
      <x:c r="T42" s="3" t="n">
        <x:f>'Расчёт'!$F$28+Q42*'Расчёт'!$B$122+(O42+'Расчёт'!$F$32)*'Расчёт'!$B$123</x:f>
        <x:v>53390901.97950626</x:v>
      </x:c>
    </x:row>
    <x:row r="43">
      <x:c r="A43" s="3" t="n">
        <x:v>2800</x:v>
      </x:c>
      <x:c r="B43" s="3" t="n">
        <x:f>R43-T43</x:f>
        <x:v>-8534976.46862588</x:v>
      </x:c>
      <x:c r="C43" s="3" t="n">
        <x:f>S43-T43</x:f>
        <x:v>-8534976.46862588</x:v>
      </x:c>
      <x:c r="D43" s="3" t="str">
        <x:f>IF(AND(B43&gt;=0,B42&lt;0),A42+(A43-A42)*(-B42)/(B43-B42),"")</x:f>
      </x:c>
      <x:c r="E43" s="3" t="str">
        <x:f>IF(AND(C43&gt;=0,C42&lt;0),A42+(A43-A42)*(-C42)/(C43-C42),"")</x:f>
      </x:c>
      <x:c r="F43" s="3" t="n">
        <x:f>MIN(A43*(1-'Параметры'!$B$14)*'Параметры'!$B$15,'Параметры'!$B$23*(1-'Параметры'!$B$24))</x:f>
        <x:v>1568</x:v>
      </x:c>
      <x:c r="G43" s="3" t="n">
        <x:f>F43*'Параметры'!$B$25*'Параметры'!$B$26</x:f>
        <x:v>866.32</x:v>
      </x:c>
      <x:c r="H43" s="3" t="n">
        <x:f>MAX(0,A43-'Расчёт'!$D$8)</x:f>
        <x:v>0</x:v>
      </x:c>
      <x:c r="I43" s="3" t="n">
        <x:f>IF('Параметры'!$B$21*'Параметры'!$B$22=0,0,ROUNDUP(H43/('Расчёт'!$D$7*'Параметры'!$B$17*'Параметры'!$B$21*'Параметры'!$B$22),0))</x:f>
        <x:v>0</x:v>
      </x:c>
      <x:c r="J43" s="3" t="n">
        <x:f>MAX(0,H43-I43*'Расчёт'!$D$7*'Параметры'!$B$17*'Параметры'!$B$21*'Параметры'!$B$22)</x:f>
        <x:v>0</x:v>
      </x:c>
      <x:c r="K43" s="3" t="n">
        <x:f>IF('Параметры'!$B$21*'Параметры'!$B$22=0,0,ROUNDUP(MAX(0,A43-G43-'Расчёт'!$F$8)/('Расчёт'!$F$7*'Параметры'!$B$17*'Параметры'!$B$21*'Параметры'!$B$22),0))</x:f>
        <x:v>0</x:v>
      </x:c>
      <x:c r="L43" s="3" t="n">
        <x:f>MAX(0,A43-G43-'Расчёт'!$F$8-K43*'Расчёт'!$F$7*'Параметры'!$B$17*'Параметры'!$B$21*'Параметры'!$B$22)</x:f>
        <x:v>0</x:v>
      </x:c>
      <x:c r="M43" s="3" t="n">
        <x:f>MIN(H43,I43*'Расчёт'!$E$7*'Параметры'!$B$17*'Параметры'!$B$21*'Параметры'!$B$22)</x:f>
        <x:v>0</x:v>
      </x:c>
      <x:c r="N43" s="3" t="n">
        <x:f>MIN(MAX(0,A43-G43-'Расчёт'!$F$8),K43*'Расчёт'!$F$7*'Параметры'!$B$17*'Параметры'!$B$21*'Параметры'!$B$22)</x:f>
        <x:v>0</x:v>
      </x:c>
      <x:c r="O43" s="3" t="n">
        <x:f>'Расчёт'!$D$33+'Расчёт'!$D$34+'Расчёт'!$D$29+(A43*'Параметры'!$B$8+'Расчёт'!$D$6*('Параметры'!$B$9-'Параметры'!$B$8))*'Параметры'!$B$49*'Параметры'!$B$52+(H43*'Параметры'!$B$8+'Расчёт'!$D$20*('Параметры'!$B$9-'Параметры'!$B$8))*'Параметры'!$B$53</x:f>
        <x:v>12981432</x:v>
      </x:c>
      <x:c r="P43" s="3" t="n">
        <x:f>'Расчёт'!$E$33+'Расчёт'!$E$34+'Расчёт'!$E$29+I43*('Параметры'!$B$8*'Параметры'!$B$17*'Параметры'!$B$22*'Параметры'!$B$32+'Параметры'!$B$33+'Параметры'!$B$34*'Параметры'!$B$32+'Параметры'!$B$35)+((A43*'Параметры'!$B$8+'Расчёт'!$E$6*('Параметры'!$B$9-'Параметры'!$B$8))*'Параметры'!$B$49+M43*'Параметры'!$B$8*('Параметры'!$B$50-'Параметры'!$B$49))*'Параметры'!$B$52+(J43*'Параметры'!$B$8+'Расчёт'!$E$20*('Параметры'!$B$9-'Параметры'!$B$8))*'Параметры'!$B$53</x:f>
        <x:v>12981432</x:v>
      </x:c>
      <x:c r="Q43" s="3" t="n">
        <x:f>'Расчёт'!$F$33+'Расчёт'!$F$34+'Расчёт'!$F$29+'Расчёт'!$F$30+'Расчёт'!$F$32+K43*('Параметры'!$B$8*'Параметры'!$B$17*'Параметры'!$B$22*'Параметры'!$B$32+'Параметры'!$B$33+'Параметры'!$B$34*'Параметры'!$B$32+'Параметры'!$B$35)+((A43*'Параметры'!$B$8+'Расчёт'!$F$6*('Параметры'!$B$9-'Параметры'!$B$8))*'Параметры'!$B$49-(F43*'Параметры'!$B$8+'Расчёт'!$F$12*('Параметры'!$B$9-'Параметры'!$B$8))*('Параметры'!$B$49-'Параметры'!$B$51)+N43*'Параметры'!$B$8*('Параметры'!$B$50-'Параметры'!$B$49))*'Параметры'!$B$52+(L43*'Параметры'!$B$8+'Расчёт'!$F$20*('Параметры'!$B$9-'Параметры'!$B$8))*'Параметры'!$B$53</x:f>
        <x:v>13807214</x:v>
      </x:c>
      <x:c r="R43" s="3" t="n">
        <x:f>'Расчёт'!$D$28+O43*'Расчёт'!$B$124</x:f>
        <x:v>44866307.14773021</x:v>
      </x:c>
      <x:c r="S43" s="3" t="n">
        <x:f>'Расчёт'!$E$28+P43*'Расчёт'!$B$124</x:f>
        <x:v>44866307.14773021</x:v>
      </x:c>
      <x:c r="T43" s="3" t="n">
        <x:f>'Расчёт'!$F$28+Q43*'Расчёт'!$B$122+(O43+'Расчёт'!$F$32)*'Расчёт'!$B$123</x:f>
        <x:v>53401283.61635609</x:v>
      </x:c>
    </x:row>
    <x:row r="44">
      <x:c r="A44" s="3" t="n">
        <x:v>2850</x:v>
      </x:c>
      <x:c r="B44" s="3" t="n">
        <x:f>R44-T44</x:f>
        <x:v>-8530939.165406503</x:v>
      </x:c>
      <x:c r="C44" s="3" t="n">
        <x:f>S44-T44</x:f>
        <x:v>-8530939.165406503</x:v>
      </x:c>
      <x:c r="D44" s="3" t="str">
        <x:f>IF(AND(B44&gt;=0,B43&lt;0),A43+(A44-A43)*(-B43)/(B44-B43),"")</x:f>
      </x:c>
      <x:c r="E44" s="3" t="str">
        <x:f>IF(AND(C44&gt;=0,C43&lt;0),A43+(A44-A43)*(-C43)/(C44-C43),"")</x:f>
      </x:c>
      <x:c r="F44" s="3" t="n">
        <x:f>MIN(A44*(1-'Параметры'!$B$14)*'Параметры'!$B$15,'Параметры'!$B$23*(1-'Параметры'!$B$24))</x:f>
        <x:v>1596</x:v>
      </x:c>
      <x:c r="G44" s="3" t="n">
        <x:f>F44*'Параметры'!$B$25*'Параметры'!$B$26</x:f>
        <x:v>881.7900000000001</x:v>
      </x:c>
      <x:c r="H44" s="3" t="n">
        <x:f>MAX(0,A44-'Расчёт'!$D$8)</x:f>
        <x:v>0</x:v>
      </x:c>
      <x:c r="I44" s="3" t="n">
        <x:f>IF('Параметры'!$B$21*'Параметры'!$B$22=0,0,ROUNDUP(H44/('Расчёт'!$D$7*'Параметры'!$B$17*'Параметры'!$B$21*'Параметры'!$B$22),0))</x:f>
        <x:v>0</x:v>
      </x:c>
      <x:c r="J44" s="3" t="n">
        <x:f>MAX(0,H44-I44*'Расчёт'!$D$7*'Параметры'!$B$17*'Параметры'!$B$21*'Параметры'!$B$22)</x:f>
        <x:v>0</x:v>
      </x:c>
      <x:c r="K44" s="3" t="n">
        <x:f>IF('Параметры'!$B$21*'Параметры'!$B$22=0,0,ROUNDUP(MAX(0,A44-G44-'Расчёт'!$F$8)/('Расчёт'!$F$7*'Параметры'!$B$17*'Параметры'!$B$21*'Параметры'!$B$22),0))</x:f>
        <x:v>0</x:v>
      </x:c>
      <x:c r="L44" s="3" t="n">
        <x:f>MAX(0,A44-G44-'Расчёт'!$F$8-K44*'Расчёт'!$F$7*'Параметры'!$B$17*'Параметры'!$B$21*'Параметры'!$B$22)</x:f>
        <x:v>0</x:v>
      </x:c>
      <x:c r="M44" s="3" t="n">
        <x:f>MIN(H44,I44*'Расчёт'!$E$7*'Параметры'!$B$17*'Параметры'!$B$21*'Параметры'!$B$22)</x:f>
        <x:v>0</x:v>
      </x:c>
      <x:c r="N44" s="3" t="n">
        <x:f>MIN(MAX(0,A44-G44-'Расчёт'!$F$8),K44*'Расчёт'!$F$7*'Параметры'!$B$17*'Параметры'!$B$21*'Параметры'!$B$22)</x:f>
        <x:v>0</x:v>
      </x:c>
      <x:c r="O44" s="3" t="n">
        <x:f>'Расчёт'!$D$33+'Расчёт'!$D$34+'Расчёт'!$D$29+(A44*'Параметры'!$B$8+'Расчёт'!$D$6*('Параметры'!$B$9-'Параметры'!$B$8))*'Параметры'!$B$49*'Параметры'!$B$52+(H44*'Параметры'!$B$8+'Расчёт'!$D$20*('Параметры'!$B$9-'Параметры'!$B$8))*'Параметры'!$B$53</x:f>
        <x:v>12985632</x:v>
      </x:c>
      <x:c r="P44" s="3" t="n">
        <x:f>'Расчёт'!$E$33+'Расчёт'!$E$34+'Расчёт'!$E$29+I44*('Параметры'!$B$8*'Параметры'!$B$17*'Параметры'!$B$22*'Параметры'!$B$32+'Параметры'!$B$33+'Параметры'!$B$34*'Параметры'!$B$32+'Параметры'!$B$35)+((A44*'Параметры'!$B$8+'Расчёт'!$E$6*('Параметры'!$B$9-'Параметры'!$B$8))*'Параметры'!$B$49+M44*'Параметры'!$B$8*('Параметры'!$B$50-'Параметры'!$B$49))*'Параметры'!$B$52+(J44*'Параметры'!$B$8+'Расчёт'!$E$20*('Параметры'!$B$9-'Параметры'!$B$8))*'Параметры'!$B$53</x:f>
        <x:v>12985632</x:v>
      </x:c>
      <x:c r="Q44" s="3" t="n">
        <x:f>'Расчёт'!$F$33+'Расчёт'!$F$34+'Расчёт'!$F$29+'Расчёт'!$F$30+'Расчёт'!$F$32+K44*('Параметры'!$B$8*'Параметры'!$B$17*'Параметры'!$B$22*'Параметры'!$B$32+'Параметры'!$B$33+'Параметры'!$B$34*'Параметры'!$B$32+'Параметры'!$B$35)+((A44*'Параметры'!$B$8+'Расчёт'!$F$6*('Параметры'!$B$9-'Параметры'!$B$8))*'Параметры'!$B$49-(F44*'Параметры'!$B$8+'Расчёт'!$F$12*('Параметры'!$B$9-'Параметры'!$B$8))*('Параметры'!$B$49-'Параметры'!$B$51)+N44*'Параметры'!$B$8*('Параметры'!$B$50-'Параметры'!$B$49))*'Параметры'!$B$52+(L44*'Параметры'!$B$8+'Расчёт'!$F$20*('Параметры'!$B$9-'Параметры'!$B$8))*'Параметры'!$B$53</x:f>
        <x:v>13810238</x:v>
      </x:c>
      <x:c r="R44" s="3" t="n">
        <x:f>'Расчёт'!$D$28+O44*'Расчёт'!$B$124</x:f>
        <x:v>44880726.087799415</x:v>
      </x:c>
      <x:c r="S44" s="3" t="n">
        <x:f>'Расчёт'!$E$28+P44*'Расчёт'!$B$124</x:f>
        <x:v>44880726.087799415</x:v>
      </x:c>
      <x:c r="T44" s="3" t="n">
        <x:f>'Расчёт'!$F$28+Q44*'Расчёт'!$B$122+(O44+'Расчёт'!$F$32)*'Расчёт'!$B$123</x:f>
        <x:v>53411665.25320592</x:v>
      </x:c>
    </x:row>
    <x:row r="45">
      <x:c r="A45" s="3" t="n">
        <x:v>2900</x:v>
      </x:c>
      <x:c r="B45" s="3" t="n">
        <x:f>R45-T45</x:f>
        <x:v>-8526901.862187125</x:v>
      </x:c>
      <x:c r="C45" s="3" t="n">
        <x:f>S45-T45</x:f>
        <x:v>-8526901.862187125</x:v>
      </x:c>
      <x:c r="D45" s="3" t="str">
        <x:f>IF(AND(B45&gt;=0,B44&lt;0),A44+(A45-A44)*(-B44)/(B45-B44),"")</x:f>
      </x:c>
      <x:c r="E45" s="3" t="str">
        <x:f>IF(AND(C45&gt;=0,C44&lt;0),A44+(A45-A44)*(-C44)/(C45-C44),"")</x:f>
      </x:c>
      <x:c r="F45" s="3" t="n">
        <x:f>MIN(A45*(1-'Параметры'!$B$14)*'Параметры'!$B$15,'Параметры'!$B$23*(1-'Параметры'!$B$24))</x:f>
        <x:v>1624</x:v>
      </x:c>
      <x:c r="G45" s="3" t="n">
        <x:f>F45*'Параметры'!$B$25*'Параметры'!$B$26</x:f>
        <x:v>897.2600000000001</x:v>
      </x:c>
      <x:c r="H45" s="3" t="n">
        <x:f>MAX(0,A45-'Расчёт'!$D$8)</x:f>
        <x:v>0</x:v>
      </x:c>
      <x:c r="I45" s="3" t="n">
        <x:f>IF('Параметры'!$B$21*'Параметры'!$B$22=0,0,ROUNDUP(H45/('Расчёт'!$D$7*'Параметры'!$B$17*'Параметры'!$B$21*'Параметры'!$B$22),0))</x:f>
        <x:v>0</x:v>
      </x:c>
      <x:c r="J45" s="3" t="n">
        <x:f>MAX(0,H45-I45*'Расчёт'!$D$7*'Параметры'!$B$17*'Параметры'!$B$21*'Параметры'!$B$22)</x:f>
        <x:v>0</x:v>
      </x:c>
      <x:c r="K45" s="3" t="n">
        <x:f>IF('Параметры'!$B$21*'Параметры'!$B$22=0,0,ROUNDUP(MAX(0,A45-G45-'Расчёт'!$F$8)/('Расчёт'!$F$7*'Параметры'!$B$17*'Параметры'!$B$21*'Параметры'!$B$22),0))</x:f>
        <x:v>0</x:v>
      </x:c>
      <x:c r="L45" s="3" t="n">
        <x:f>MAX(0,A45-G45-'Расчёт'!$F$8-K45*'Расчёт'!$F$7*'Параметры'!$B$17*'Параметры'!$B$21*'Параметры'!$B$22)</x:f>
        <x:v>0</x:v>
      </x:c>
      <x:c r="M45" s="3" t="n">
        <x:f>MIN(H45,I45*'Расчёт'!$E$7*'Параметры'!$B$17*'Параметры'!$B$21*'Параметры'!$B$22)</x:f>
        <x:v>0</x:v>
      </x:c>
      <x:c r="N45" s="3" t="n">
        <x:f>MIN(MAX(0,A45-G45-'Расчёт'!$F$8),K45*'Расчёт'!$F$7*'Параметры'!$B$17*'Параметры'!$B$21*'Параметры'!$B$22)</x:f>
        <x:v>0</x:v>
      </x:c>
      <x:c r="O45" s="3" t="n">
        <x:f>'Расчёт'!$D$33+'Расчёт'!$D$34+'Расчёт'!$D$29+(A45*'Параметры'!$B$8+'Расчёт'!$D$6*('Параметры'!$B$9-'Параметры'!$B$8))*'Параметры'!$B$49*'Параметры'!$B$52+(H45*'Параметры'!$B$8+'Расчёт'!$D$20*('Параметры'!$B$9-'Параметры'!$B$8))*'Параметры'!$B$53</x:f>
        <x:v>12989832</x:v>
      </x:c>
      <x:c r="P45" s="3" t="n">
        <x:f>'Расчёт'!$E$33+'Расчёт'!$E$34+'Расчёт'!$E$29+I45*('Параметры'!$B$8*'Параметры'!$B$17*'Параметры'!$B$22*'Параметры'!$B$32+'Параметры'!$B$33+'Параметры'!$B$34*'Параметры'!$B$32+'Параметры'!$B$35)+((A45*'Параметры'!$B$8+'Расчёт'!$E$6*('Параметры'!$B$9-'Параметры'!$B$8))*'Параметры'!$B$49+M45*'Параметры'!$B$8*('Параметры'!$B$50-'Параметры'!$B$49))*'Параметры'!$B$52+(J45*'Параметры'!$B$8+'Расчёт'!$E$20*('Параметры'!$B$9-'Параметры'!$B$8))*'Параметры'!$B$53</x:f>
        <x:v>12989832</x:v>
      </x:c>
      <x:c r="Q45" s="3" t="n">
        <x:f>'Расчёт'!$F$33+'Расчёт'!$F$34+'Расчёт'!$F$29+'Расчёт'!$F$30+'Расчёт'!$F$32+K45*('Параметры'!$B$8*'Параметры'!$B$17*'Параметры'!$B$22*'Параметры'!$B$32+'Параметры'!$B$33+'Параметры'!$B$34*'Параметры'!$B$32+'Параметры'!$B$35)+((A45*'Параметры'!$B$8+'Расчёт'!$F$6*('Параметры'!$B$9-'Параметры'!$B$8))*'Параметры'!$B$49-(F45*'Параметры'!$B$8+'Расчёт'!$F$12*('Параметры'!$B$9-'Параметры'!$B$8))*('Параметры'!$B$49-'Параметры'!$B$51)+N45*'Параметры'!$B$8*('Параметры'!$B$50-'Параметры'!$B$49))*'Параметры'!$B$52+(L45*'Параметры'!$B$8+'Расчёт'!$F$20*('Параметры'!$B$9-'Параметры'!$B$8))*'Параметры'!$B$53</x:f>
        <x:v>13813262</x:v>
      </x:c>
      <x:c r="R45" s="3" t="n">
        <x:f>'Расчёт'!$D$28+O45*'Расчёт'!$B$124</x:f>
        <x:v>44895145.02786862</x:v>
      </x:c>
      <x:c r="S45" s="3" t="n">
        <x:f>'Расчёт'!$E$28+P45*'Расчёт'!$B$124</x:f>
        <x:v>44895145.02786862</x:v>
      </x:c>
      <x:c r="T45" s="3" t="n">
        <x:f>'Расчёт'!$F$28+Q45*'Расчёт'!$B$122+(O45+'Расчёт'!$F$32)*'Расчёт'!$B$123</x:f>
        <x:v>53422046.890055746</x:v>
      </x:c>
    </x:row>
    <x:row r="46">
      <x:c r="A46" s="3" t="n">
        <x:v>2950</x:v>
      </x:c>
      <x:c r="B46" s="3" t="n">
        <x:f>R46-T46</x:f>
        <x:v>-8522864.558967747</x:v>
      </x:c>
      <x:c r="C46" s="3" t="n">
        <x:f>S46-T46</x:f>
        <x:v>-8522864.558967747</x:v>
      </x:c>
      <x:c r="D46" s="3" t="str">
        <x:f>IF(AND(B46&gt;=0,B45&lt;0),A45+(A46-A45)*(-B45)/(B46-B45),"")</x:f>
      </x:c>
      <x:c r="E46" s="3" t="str">
        <x:f>IF(AND(C46&gt;=0,C45&lt;0),A45+(A46-A45)*(-C45)/(C46-C45),"")</x:f>
      </x:c>
      <x:c r="F46" s="3" t="n">
        <x:f>MIN(A46*(1-'Параметры'!$B$14)*'Параметры'!$B$15,'Параметры'!$B$23*(1-'Параметры'!$B$24))</x:f>
        <x:v>1652</x:v>
      </x:c>
      <x:c r="G46" s="3" t="n">
        <x:f>F46*'Параметры'!$B$25*'Параметры'!$B$26</x:f>
        <x:v>912.7299999999999</x:v>
      </x:c>
      <x:c r="H46" s="3" t="n">
        <x:f>MAX(0,A46-'Расчёт'!$D$8)</x:f>
        <x:v>0</x:v>
      </x:c>
      <x:c r="I46" s="3" t="n">
        <x:f>IF('Параметры'!$B$21*'Параметры'!$B$22=0,0,ROUNDUP(H46/('Расчёт'!$D$7*'Параметры'!$B$17*'Параметры'!$B$21*'Параметры'!$B$22),0))</x:f>
        <x:v>0</x:v>
      </x:c>
      <x:c r="J46" s="3" t="n">
        <x:f>MAX(0,H46-I46*'Расчёт'!$D$7*'Параметры'!$B$17*'Параметры'!$B$21*'Параметры'!$B$22)</x:f>
        <x:v>0</x:v>
      </x:c>
      <x:c r="K46" s="3" t="n">
        <x:f>IF('Параметры'!$B$21*'Параметры'!$B$22=0,0,ROUNDUP(MAX(0,A46-G46-'Расчёт'!$F$8)/('Расчёт'!$F$7*'Параметры'!$B$17*'Параметры'!$B$21*'Параметры'!$B$22),0))</x:f>
        <x:v>0</x:v>
      </x:c>
      <x:c r="L46" s="3" t="n">
        <x:f>MAX(0,A46-G46-'Расчёт'!$F$8-K46*'Расчёт'!$F$7*'Параметры'!$B$17*'Параметры'!$B$21*'Параметры'!$B$22)</x:f>
        <x:v>0</x:v>
      </x:c>
      <x:c r="M46" s="3" t="n">
        <x:f>MIN(H46,I46*'Расчёт'!$E$7*'Параметры'!$B$17*'Параметры'!$B$21*'Параметры'!$B$22)</x:f>
        <x:v>0</x:v>
      </x:c>
      <x:c r="N46" s="3" t="n">
        <x:f>MIN(MAX(0,A46-G46-'Расчёт'!$F$8),K46*'Расчёт'!$F$7*'Параметры'!$B$17*'Параметры'!$B$21*'Параметры'!$B$22)</x:f>
        <x:v>0</x:v>
      </x:c>
      <x:c r="O46" s="3" t="n">
        <x:f>'Расчёт'!$D$33+'Расчёт'!$D$34+'Расчёт'!$D$29+(A46*'Параметры'!$B$8+'Расчёт'!$D$6*('Параметры'!$B$9-'Параметры'!$B$8))*'Параметры'!$B$49*'Параметры'!$B$52+(H46*'Параметры'!$B$8+'Расчёт'!$D$20*('Параметры'!$B$9-'Параметры'!$B$8))*'Параметры'!$B$53</x:f>
        <x:v>12994032</x:v>
      </x:c>
      <x:c r="P46" s="3" t="n">
        <x:f>'Расчёт'!$E$33+'Расчёт'!$E$34+'Расчёт'!$E$29+I46*('Параметры'!$B$8*'Параметры'!$B$17*'Параметры'!$B$22*'Параметры'!$B$32+'Параметры'!$B$33+'Параметры'!$B$34*'Параметры'!$B$32+'Параметры'!$B$35)+((A46*'Параметры'!$B$8+'Расчёт'!$E$6*('Параметры'!$B$9-'Параметры'!$B$8))*'Параметры'!$B$49+M46*'Параметры'!$B$8*('Параметры'!$B$50-'Параметры'!$B$49))*'Параметры'!$B$52+(J46*'Параметры'!$B$8+'Расчёт'!$E$20*('Параметры'!$B$9-'Параметры'!$B$8))*'Параметры'!$B$53</x:f>
        <x:v>12994032</x:v>
      </x:c>
      <x:c r="Q46" s="3" t="n">
        <x:f>'Расчёт'!$F$33+'Расчёт'!$F$34+'Расчёт'!$F$29+'Расчёт'!$F$30+'Расчёт'!$F$32+K46*('Параметры'!$B$8*'Параметры'!$B$17*'Параметры'!$B$22*'Параметры'!$B$32+'Параметры'!$B$33+'Параметры'!$B$34*'Параметры'!$B$32+'Параметры'!$B$35)+((A46*'Параметры'!$B$8+'Расчёт'!$F$6*('Параметры'!$B$9-'Параметры'!$B$8))*'Параметры'!$B$49-(F46*'Параметры'!$B$8+'Расчёт'!$F$12*('Параметры'!$B$9-'Параметры'!$B$8))*('Параметры'!$B$49-'Параметры'!$B$51)+N46*'Параметры'!$B$8*('Параметры'!$B$50-'Параметры'!$B$49))*'Параметры'!$B$52+(L46*'Параметры'!$B$8+'Расчёт'!$F$20*('Параметры'!$B$9-'Параметры'!$B$8))*'Параметры'!$B$53</x:f>
        <x:v>13816286</x:v>
      </x:c>
      <x:c r="R46" s="3" t="n">
        <x:f>'Расчёт'!$D$28+O46*'Расчёт'!$B$124</x:f>
        <x:v>44909563.96793783</x:v>
      </x:c>
      <x:c r="S46" s="3" t="n">
        <x:f>'Расчёт'!$E$28+P46*'Расчёт'!$B$124</x:f>
        <x:v>44909563.96793783</x:v>
      </x:c>
      <x:c r="T46" s="3" t="n">
        <x:f>'Расчёт'!$F$28+Q46*'Расчёт'!$B$122+(O46+'Расчёт'!$F$32)*'Расчёт'!$B$123</x:f>
        <x:v>53432428.526905574</x:v>
      </x:c>
    </x:row>
    <x:row r="47">
      <x:c r="A47" s="3" t="n">
        <x:v>3000</x:v>
      </x:c>
      <x:c r="B47" s="3" t="n">
        <x:f>R47-T47</x:f>
        <x:v>-8518827.255748369</x:v>
      </x:c>
      <x:c r="C47" s="3" t="n">
        <x:f>S47-T47</x:f>
        <x:v>-8518827.255748369</x:v>
      </x:c>
      <x:c r="D47" s="3" t="str">
        <x:f>IF(AND(B47&gt;=0,B46&lt;0),A46+(A47-A46)*(-B46)/(B47-B46),"")</x:f>
      </x:c>
      <x:c r="E47" s="3" t="str">
        <x:f>IF(AND(C47&gt;=0,C46&lt;0),A46+(A47-A46)*(-C46)/(C47-C46),"")</x:f>
      </x:c>
      <x:c r="F47" s="3" t="n">
        <x:f>MIN(A47*(1-'Параметры'!$B$14)*'Параметры'!$B$15,'Параметры'!$B$23*(1-'Параметры'!$B$24))</x:f>
        <x:v>1680</x:v>
      </x:c>
      <x:c r="G47" s="3" t="n">
        <x:f>F47*'Параметры'!$B$25*'Параметры'!$B$26</x:f>
        <x:v>928.1999999999999</x:v>
      </x:c>
      <x:c r="H47" s="3" t="n">
        <x:f>MAX(0,A47-'Расчёт'!$D$8)</x:f>
        <x:v>0</x:v>
      </x:c>
      <x:c r="I47" s="3" t="n">
        <x:f>IF('Параметры'!$B$21*'Параметры'!$B$22=0,0,ROUNDUP(H47/('Расчёт'!$D$7*'Параметры'!$B$17*'Параметры'!$B$21*'Параметры'!$B$22),0))</x:f>
        <x:v>0</x:v>
      </x:c>
      <x:c r="J47" s="3" t="n">
        <x:f>MAX(0,H47-I47*'Расчёт'!$D$7*'Параметры'!$B$17*'Параметры'!$B$21*'Параметры'!$B$22)</x:f>
        <x:v>0</x:v>
      </x:c>
      <x:c r="K47" s="3" t="n">
        <x:f>IF('Параметры'!$B$21*'Параметры'!$B$22=0,0,ROUNDUP(MAX(0,A47-G47-'Расчёт'!$F$8)/('Расчёт'!$F$7*'Параметры'!$B$17*'Параметры'!$B$21*'Параметры'!$B$22),0))</x:f>
        <x:v>0</x:v>
      </x:c>
      <x:c r="L47" s="3" t="n">
        <x:f>MAX(0,A47-G47-'Расчёт'!$F$8-K47*'Расчёт'!$F$7*'Параметры'!$B$17*'Параметры'!$B$21*'Параметры'!$B$22)</x:f>
        <x:v>0</x:v>
      </x:c>
      <x:c r="M47" s="3" t="n">
        <x:f>MIN(H47,I47*'Расчёт'!$E$7*'Параметры'!$B$17*'Параметры'!$B$21*'Параметры'!$B$22)</x:f>
        <x:v>0</x:v>
      </x:c>
      <x:c r="N47" s="3" t="n">
        <x:f>MIN(MAX(0,A47-G47-'Расчёт'!$F$8),K47*'Расчёт'!$F$7*'Параметры'!$B$17*'Параметры'!$B$21*'Параметры'!$B$22)</x:f>
        <x:v>0</x:v>
      </x:c>
      <x:c r="O47" s="3" t="n">
        <x:f>'Расчёт'!$D$33+'Расчёт'!$D$34+'Расчёт'!$D$29+(A47*'Параметры'!$B$8+'Расчёт'!$D$6*('Параметры'!$B$9-'Параметры'!$B$8))*'Параметры'!$B$49*'Параметры'!$B$52+(H47*'Параметры'!$B$8+'Расчёт'!$D$20*('Параметры'!$B$9-'Параметры'!$B$8))*'Параметры'!$B$53</x:f>
        <x:v>12998232</x:v>
      </x:c>
      <x:c r="P47" s="3" t="n">
        <x:f>'Расчёт'!$E$33+'Расчёт'!$E$34+'Расчёт'!$E$29+I47*('Параметры'!$B$8*'Параметры'!$B$17*'Параметры'!$B$22*'Параметры'!$B$32+'Параметры'!$B$33+'Параметры'!$B$34*'Параметры'!$B$32+'Параметры'!$B$35)+((A47*'Параметры'!$B$8+'Расчёт'!$E$6*('Параметры'!$B$9-'Параметры'!$B$8))*'Параметры'!$B$49+M47*'Параметры'!$B$8*('Параметры'!$B$50-'Параметры'!$B$49))*'Параметры'!$B$52+(J47*'Параметры'!$B$8+'Расчёт'!$E$20*('Параметры'!$B$9-'Параметры'!$B$8))*'Параметры'!$B$53</x:f>
        <x:v>12998232</x:v>
      </x:c>
      <x:c r="Q47" s="3" t="n">
        <x:f>'Расчёт'!$F$33+'Расчёт'!$F$34+'Расчёт'!$F$29+'Расчёт'!$F$30+'Расчёт'!$F$32+K47*('Параметры'!$B$8*'Параметры'!$B$17*'Параметры'!$B$22*'Параметры'!$B$32+'Параметры'!$B$33+'Параметры'!$B$34*'Параметры'!$B$32+'Параметры'!$B$35)+((A47*'Параметры'!$B$8+'Расчёт'!$F$6*('Параметры'!$B$9-'Параметры'!$B$8))*'Параметры'!$B$49-(F47*'Параметры'!$B$8+'Расчёт'!$F$12*('Параметры'!$B$9-'Параметры'!$B$8))*('Параметры'!$B$49-'Параметры'!$B$51)+N47*'Параметры'!$B$8*('Параметры'!$B$50-'Параметры'!$B$49))*'Параметры'!$B$52+(L47*'Параметры'!$B$8+'Расчёт'!$F$20*('Параметры'!$B$9-'Параметры'!$B$8))*'Параметры'!$B$53</x:f>
        <x:v>13819310</x:v>
      </x:c>
      <x:c r="R47" s="3" t="n">
        <x:f>'Расчёт'!$D$28+O47*'Расчёт'!$B$124</x:f>
        <x:v>44923982.90800703</x:v>
      </x:c>
      <x:c r="S47" s="3" t="n">
        <x:f>'Расчёт'!$E$28+P47*'Расчёт'!$B$124</x:f>
        <x:v>44923982.90800703</x:v>
      </x:c>
      <x:c r="T47" s="3" t="n">
        <x:f>'Расчёт'!$F$28+Q47*'Расчёт'!$B$122+(O47+'Расчёт'!$F$32)*'Расчёт'!$B$123</x:f>
        <x:v>53442810.1637554</x:v>
      </x:c>
    </x:row>
    <x:row r="48">
      <x:c r="A48" s="3" t="n">
        <x:v>3050</x:v>
      </x:c>
      <x:c r="B48" s="3" t="n">
        <x:f>R48-T48</x:f>
        <x:v>-8514789.95252899</x:v>
      </x:c>
      <x:c r="C48" s="3" t="n">
        <x:f>S48-T48</x:f>
        <x:v>-8514789.95252899</x:v>
      </x:c>
      <x:c r="D48" s="3" t="str">
        <x:f>IF(AND(B48&gt;=0,B47&lt;0),A47+(A48-A47)*(-B47)/(B48-B47),"")</x:f>
      </x:c>
      <x:c r="E48" s="3" t="str">
        <x:f>IF(AND(C48&gt;=0,C47&lt;0),A47+(A48-A47)*(-C47)/(C48-C47),"")</x:f>
      </x:c>
      <x:c r="F48" s="3" t="n">
        <x:f>MIN(A48*(1-'Параметры'!$B$14)*'Параметры'!$B$15,'Параметры'!$B$23*(1-'Параметры'!$B$24))</x:f>
        <x:v>1708</x:v>
      </x:c>
      <x:c r="G48" s="3" t="n">
        <x:f>F48*'Параметры'!$B$25*'Параметры'!$B$26</x:f>
        <x:v>943.67</x:v>
      </x:c>
      <x:c r="H48" s="3" t="n">
        <x:f>MAX(0,A48-'Расчёт'!$D$8)</x:f>
        <x:v>0</x:v>
      </x:c>
      <x:c r="I48" s="3" t="n">
        <x:f>IF('Параметры'!$B$21*'Параметры'!$B$22=0,0,ROUNDUP(H48/('Расчёт'!$D$7*'Параметры'!$B$17*'Параметры'!$B$21*'Параметры'!$B$22),0))</x:f>
        <x:v>0</x:v>
      </x:c>
      <x:c r="J48" s="3" t="n">
        <x:f>MAX(0,H48-I48*'Расчёт'!$D$7*'Параметры'!$B$17*'Параметры'!$B$21*'Параметры'!$B$22)</x:f>
        <x:v>0</x:v>
      </x:c>
      <x:c r="K48" s="3" t="n">
        <x:f>IF('Параметры'!$B$21*'Параметры'!$B$22=0,0,ROUNDUP(MAX(0,A48-G48-'Расчёт'!$F$8)/('Расчёт'!$F$7*'Параметры'!$B$17*'Параметры'!$B$21*'Параметры'!$B$22),0))</x:f>
        <x:v>0</x:v>
      </x:c>
      <x:c r="L48" s="3" t="n">
        <x:f>MAX(0,A48-G48-'Расчёт'!$F$8-K48*'Расчёт'!$F$7*'Параметры'!$B$17*'Параметры'!$B$21*'Параметры'!$B$22)</x:f>
        <x:v>0</x:v>
      </x:c>
      <x:c r="M48" s="3" t="n">
        <x:f>MIN(H48,I48*'Расчёт'!$E$7*'Параметры'!$B$17*'Параметры'!$B$21*'Параметры'!$B$22)</x:f>
        <x:v>0</x:v>
      </x:c>
      <x:c r="N48" s="3" t="n">
        <x:f>MIN(MAX(0,A48-G48-'Расчёт'!$F$8),K48*'Расчёт'!$F$7*'Параметры'!$B$17*'Параметры'!$B$21*'Параметры'!$B$22)</x:f>
        <x:v>0</x:v>
      </x:c>
      <x:c r="O48" s="3" t="n">
        <x:f>'Расчёт'!$D$33+'Расчёт'!$D$34+'Расчёт'!$D$29+(A48*'Параметры'!$B$8+'Расчёт'!$D$6*('Параметры'!$B$9-'Параметры'!$B$8))*'Параметры'!$B$49*'Параметры'!$B$52+(H48*'Параметры'!$B$8+'Расчёт'!$D$20*('Параметры'!$B$9-'Параметры'!$B$8))*'Параметры'!$B$53</x:f>
        <x:v>13002432</x:v>
      </x:c>
      <x:c r="P48" s="3" t="n">
        <x:f>'Расчёт'!$E$33+'Расчёт'!$E$34+'Расчёт'!$E$29+I48*('Параметры'!$B$8*'Параметры'!$B$17*'Параметры'!$B$22*'Параметры'!$B$32+'Параметры'!$B$33+'Параметры'!$B$34*'Параметры'!$B$32+'Параметры'!$B$35)+((A48*'Параметры'!$B$8+'Расчёт'!$E$6*('Параметры'!$B$9-'Параметры'!$B$8))*'Параметры'!$B$49+M48*'Параметры'!$B$8*('Параметры'!$B$50-'Параметры'!$B$49))*'Параметры'!$B$52+(J48*'Параметры'!$B$8+'Расчёт'!$E$20*('Параметры'!$B$9-'Параметры'!$B$8))*'Параметры'!$B$53</x:f>
        <x:v>13002432</x:v>
      </x:c>
      <x:c r="Q48" s="3" t="n">
        <x:f>'Расчёт'!$F$33+'Расчёт'!$F$34+'Расчёт'!$F$29+'Расчёт'!$F$30+'Расчёт'!$F$32+K48*('Параметры'!$B$8*'Параметры'!$B$17*'Параметры'!$B$22*'Параметры'!$B$32+'Параметры'!$B$33+'Параметры'!$B$34*'Параметры'!$B$32+'Параметры'!$B$35)+((A48*'Параметры'!$B$8+'Расчёт'!$F$6*('Параметры'!$B$9-'Параметры'!$B$8))*'Параметры'!$B$49-(F48*'Параметры'!$B$8+'Расчёт'!$F$12*('Параметры'!$B$9-'Параметры'!$B$8))*('Параметры'!$B$49-'Параметры'!$B$51)+N48*'Параметры'!$B$8*('Параметры'!$B$50-'Параметры'!$B$49))*'Параметры'!$B$52+(L48*'Параметры'!$B$8+'Расчёт'!$F$20*('Параметры'!$B$9-'Параметры'!$B$8))*'Параметры'!$B$53</x:f>
        <x:v>13822334</x:v>
      </x:c>
      <x:c r="R48" s="3" t="n">
        <x:f>'Расчёт'!$D$28+O48*'Расчёт'!$B$124</x:f>
        <x:v>44938401.84807624</x:v>
      </x:c>
      <x:c r="S48" s="3" t="n">
        <x:f>'Расчёт'!$E$28+P48*'Расчёт'!$B$124</x:f>
        <x:v>44938401.84807624</x:v>
      </x:c>
      <x:c r="T48" s="3" t="n">
        <x:f>'Расчёт'!$F$28+Q48*'Расчёт'!$B$122+(O48+'Расчёт'!$F$32)*'Расчёт'!$B$123</x:f>
        <x:v>53453191.80060523</x:v>
      </x:c>
    </x:row>
    <x:row r="49">
      <x:c r="A49" s="3" t="n">
        <x:v>3100</x:v>
      </x:c>
      <x:c r="B49" s="3" t="n">
        <x:f>R49-T49</x:f>
        <x:v>-8510752.649309613</x:v>
      </x:c>
      <x:c r="C49" s="3" t="n">
        <x:f>S49-T49</x:f>
        <x:v>-8510752.649309613</x:v>
      </x:c>
      <x:c r="D49" s="3" t="str">
        <x:f>IF(AND(B49&gt;=0,B48&lt;0),A48+(A49-A48)*(-B48)/(B49-B48),"")</x:f>
      </x:c>
      <x:c r="E49" s="3" t="str">
        <x:f>IF(AND(C49&gt;=0,C48&lt;0),A48+(A49-A48)*(-C48)/(C49-C48),"")</x:f>
      </x:c>
      <x:c r="F49" s="3" t="n">
        <x:f>MIN(A49*(1-'Параметры'!$B$14)*'Параметры'!$B$15,'Параметры'!$B$23*(1-'Параметры'!$B$24))</x:f>
        <x:v>1736</x:v>
      </x:c>
      <x:c r="G49" s="3" t="n">
        <x:f>F49*'Параметры'!$B$25*'Параметры'!$B$26</x:f>
        <x:v>959.1400000000001</x:v>
      </x:c>
      <x:c r="H49" s="3" t="n">
        <x:f>MAX(0,A49-'Расчёт'!$D$8)</x:f>
        <x:v>0</x:v>
      </x:c>
      <x:c r="I49" s="3" t="n">
        <x:f>IF('Параметры'!$B$21*'Параметры'!$B$22=0,0,ROUNDUP(H49/('Расчёт'!$D$7*'Параметры'!$B$17*'Параметры'!$B$21*'Параметры'!$B$22),0))</x:f>
        <x:v>0</x:v>
      </x:c>
      <x:c r="J49" s="3" t="n">
        <x:f>MAX(0,H49-I49*'Расчёт'!$D$7*'Параметры'!$B$17*'Параметры'!$B$21*'Параметры'!$B$22)</x:f>
        <x:v>0</x:v>
      </x:c>
      <x:c r="K49" s="3" t="n">
        <x:f>IF('Параметры'!$B$21*'Параметры'!$B$22=0,0,ROUNDUP(MAX(0,A49-G49-'Расчёт'!$F$8)/('Расчёт'!$F$7*'Параметры'!$B$17*'Параметры'!$B$21*'Параметры'!$B$22),0))</x:f>
        <x:v>0</x:v>
      </x:c>
      <x:c r="L49" s="3" t="n">
        <x:f>MAX(0,A49-G49-'Расчёт'!$F$8-K49*'Расчёт'!$F$7*'Параметры'!$B$17*'Параметры'!$B$21*'Параметры'!$B$22)</x:f>
        <x:v>0</x:v>
      </x:c>
      <x:c r="M49" s="3" t="n">
        <x:f>MIN(H49,I49*'Расчёт'!$E$7*'Параметры'!$B$17*'Параметры'!$B$21*'Параметры'!$B$22)</x:f>
        <x:v>0</x:v>
      </x:c>
      <x:c r="N49" s="3" t="n">
        <x:f>MIN(MAX(0,A49-G49-'Расчёт'!$F$8),K49*'Расчёт'!$F$7*'Параметры'!$B$17*'Параметры'!$B$21*'Параметры'!$B$22)</x:f>
        <x:v>0</x:v>
      </x:c>
      <x:c r="O49" s="3" t="n">
        <x:f>'Расчёт'!$D$33+'Расчёт'!$D$34+'Расчёт'!$D$29+(A49*'Параметры'!$B$8+'Расчёт'!$D$6*('Параметры'!$B$9-'Параметры'!$B$8))*'Параметры'!$B$49*'Параметры'!$B$52+(H49*'Параметры'!$B$8+'Расчёт'!$D$20*('Параметры'!$B$9-'Параметры'!$B$8))*'Параметры'!$B$53</x:f>
        <x:v>13006632</x:v>
      </x:c>
      <x:c r="P49" s="3" t="n">
        <x:f>'Расчёт'!$E$33+'Расчёт'!$E$34+'Расчёт'!$E$29+I49*('Параметры'!$B$8*'Параметры'!$B$17*'Параметры'!$B$22*'Параметры'!$B$32+'Параметры'!$B$33+'Параметры'!$B$34*'Параметры'!$B$32+'Параметры'!$B$35)+((A49*'Параметры'!$B$8+'Расчёт'!$E$6*('Параметры'!$B$9-'Параметры'!$B$8))*'Параметры'!$B$49+M49*'Параметры'!$B$8*('Параметры'!$B$50-'Параметры'!$B$49))*'Параметры'!$B$52+(J49*'Параметры'!$B$8+'Расчёт'!$E$20*('Параметры'!$B$9-'Параметры'!$B$8))*'Параметры'!$B$53</x:f>
        <x:v>13006632</x:v>
      </x:c>
      <x:c r="Q49" s="3" t="n">
        <x:f>'Расчёт'!$F$33+'Расчёт'!$F$34+'Расчёт'!$F$29+'Расчёт'!$F$30+'Расчёт'!$F$32+K49*('Параметры'!$B$8*'Параметры'!$B$17*'Параметры'!$B$22*'Параметры'!$B$32+'Параметры'!$B$33+'Параметры'!$B$34*'Параметры'!$B$32+'Параметры'!$B$35)+((A49*'Параметры'!$B$8+'Расчёт'!$F$6*('Параметры'!$B$9-'Параметры'!$B$8))*'Параметры'!$B$49-(F49*'Параметры'!$B$8+'Расчёт'!$F$12*('Параметры'!$B$9-'Параметры'!$B$8))*('Параметры'!$B$49-'Параметры'!$B$51)+N49*'Параметры'!$B$8*('Параметры'!$B$50-'Параметры'!$B$49))*'Параметры'!$B$52+(L49*'Параметры'!$B$8+'Расчёт'!$F$20*('Параметры'!$B$9-'Параметры'!$B$8))*'Параметры'!$B$53</x:f>
        <x:v>13825358</x:v>
      </x:c>
      <x:c r="R49" s="3" t="n">
        <x:f>'Расчёт'!$D$28+O49*'Расчёт'!$B$124</x:f>
        <x:v>44952820.788145445</x:v>
      </x:c>
      <x:c r="S49" s="3" t="n">
        <x:f>'Расчёт'!$E$28+P49*'Расчёт'!$B$124</x:f>
        <x:v>44952820.788145445</x:v>
      </x:c>
      <x:c r="T49" s="3" t="n">
        <x:f>'Расчёт'!$F$28+Q49*'Расчёт'!$B$122+(O49+'Расчёт'!$F$32)*'Расчёт'!$B$123</x:f>
        <x:v>53463573.43745506</x:v>
      </x:c>
    </x:row>
    <x:row r="50">
      <x:c r="A50" s="3" t="n">
        <x:v>3150</x:v>
      </x:c>
      <x:c r="B50" s="3" t="n">
        <x:f>R50-T50</x:f>
        <x:v>-8506715.346090235</x:v>
      </x:c>
      <x:c r="C50" s="3" t="n">
        <x:f>S50-T50</x:f>
        <x:v>-8506715.346090235</x:v>
      </x:c>
      <x:c r="D50" s="3" t="str">
        <x:f>IF(AND(B50&gt;=0,B49&lt;0),A49+(A50-A49)*(-B49)/(B50-B49),"")</x:f>
      </x:c>
      <x:c r="E50" s="3" t="str">
        <x:f>IF(AND(C50&gt;=0,C49&lt;0),A49+(A50-A49)*(-C49)/(C50-C49),"")</x:f>
      </x:c>
      <x:c r="F50" s="3" t="n">
        <x:f>MIN(A50*(1-'Параметры'!$B$14)*'Параметры'!$B$15,'Параметры'!$B$23*(1-'Параметры'!$B$24))</x:f>
        <x:v>1764</x:v>
      </x:c>
      <x:c r="G50" s="3" t="n">
        <x:f>F50*'Параметры'!$B$25*'Параметры'!$B$26</x:f>
        <x:v>974.6100000000001</x:v>
      </x:c>
      <x:c r="H50" s="3" t="n">
        <x:f>MAX(0,A50-'Расчёт'!$D$8)</x:f>
        <x:v>0</x:v>
      </x:c>
      <x:c r="I50" s="3" t="n">
        <x:f>IF('Параметры'!$B$21*'Параметры'!$B$22=0,0,ROUNDUP(H50/('Расчёт'!$D$7*'Параметры'!$B$17*'Параметры'!$B$21*'Параметры'!$B$22),0))</x:f>
        <x:v>0</x:v>
      </x:c>
      <x:c r="J50" s="3" t="n">
        <x:f>MAX(0,H50-I50*'Расчёт'!$D$7*'Параметры'!$B$17*'Параметры'!$B$21*'Параметры'!$B$22)</x:f>
        <x:v>0</x:v>
      </x:c>
      <x:c r="K50" s="3" t="n">
        <x:f>IF('Параметры'!$B$21*'Параметры'!$B$22=0,0,ROUNDUP(MAX(0,A50-G50-'Расчёт'!$F$8)/('Расчёт'!$F$7*'Параметры'!$B$17*'Параметры'!$B$21*'Параметры'!$B$22),0))</x:f>
        <x:v>0</x:v>
      </x:c>
      <x:c r="L50" s="3" t="n">
        <x:f>MAX(0,A50-G50-'Расчёт'!$F$8-K50*'Расчёт'!$F$7*'Параметры'!$B$17*'Параметры'!$B$21*'Параметры'!$B$22)</x:f>
        <x:v>0</x:v>
      </x:c>
      <x:c r="M50" s="3" t="n">
        <x:f>MIN(H50,I50*'Расчёт'!$E$7*'Параметры'!$B$17*'Параметры'!$B$21*'Параметры'!$B$22)</x:f>
        <x:v>0</x:v>
      </x:c>
      <x:c r="N50" s="3" t="n">
        <x:f>MIN(MAX(0,A50-G50-'Расчёт'!$F$8),K50*'Расчёт'!$F$7*'Параметры'!$B$17*'Параметры'!$B$21*'Параметры'!$B$22)</x:f>
        <x:v>0</x:v>
      </x:c>
      <x:c r="O50" s="3" t="n">
        <x:f>'Расчёт'!$D$33+'Расчёт'!$D$34+'Расчёт'!$D$29+(A50*'Параметры'!$B$8+'Расчёт'!$D$6*('Параметры'!$B$9-'Параметры'!$B$8))*'Параметры'!$B$49*'Параметры'!$B$52+(H50*'Параметры'!$B$8+'Расчёт'!$D$20*('Параметры'!$B$9-'Параметры'!$B$8))*'Параметры'!$B$53</x:f>
        <x:v>13010832</x:v>
      </x:c>
      <x:c r="P50" s="3" t="n">
        <x:f>'Расчёт'!$E$33+'Расчёт'!$E$34+'Расчёт'!$E$29+I50*('Параметры'!$B$8*'Параметры'!$B$17*'Параметры'!$B$22*'Параметры'!$B$32+'Параметры'!$B$33+'Параметры'!$B$34*'Параметры'!$B$32+'Параметры'!$B$35)+((A50*'Параметры'!$B$8+'Расчёт'!$E$6*('Параметры'!$B$9-'Параметры'!$B$8))*'Параметры'!$B$49+M50*'Параметры'!$B$8*('Параметры'!$B$50-'Параметры'!$B$49))*'Параметры'!$B$52+(J50*'Параметры'!$B$8+'Расчёт'!$E$20*('Параметры'!$B$9-'Параметры'!$B$8))*'Параметры'!$B$53</x:f>
        <x:v>13010832</x:v>
      </x:c>
      <x:c r="Q50" s="3" t="n">
        <x:f>'Расчёт'!$F$33+'Расчёт'!$F$34+'Расчёт'!$F$29+'Расчёт'!$F$30+'Расчёт'!$F$32+K50*('Параметры'!$B$8*'Параметры'!$B$17*'Параметры'!$B$22*'Параметры'!$B$32+'Параметры'!$B$33+'Параметры'!$B$34*'Параметры'!$B$32+'Параметры'!$B$35)+((A50*'Параметры'!$B$8+'Расчёт'!$F$6*('Параметры'!$B$9-'Параметры'!$B$8))*'Параметры'!$B$49-(F50*'Параметры'!$B$8+'Расчёт'!$F$12*('Параметры'!$B$9-'Параметры'!$B$8))*('Параметры'!$B$49-'Параметры'!$B$51)+N50*'Параметры'!$B$8*('Параметры'!$B$50-'Параметры'!$B$49))*'Параметры'!$B$52+(L50*'Параметры'!$B$8+'Расчёт'!$F$20*('Параметры'!$B$9-'Параметры'!$B$8))*'Параметры'!$B$53</x:f>
        <x:v>13828382</x:v>
      </x:c>
      <x:c r="R50" s="3" t="n">
        <x:f>'Расчёт'!$D$28+O50*'Расчёт'!$B$124</x:f>
        <x:v>44967239.72821465</x:v>
      </x:c>
      <x:c r="S50" s="3" t="n">
        <x:f>'Расчёт'!$E$28+P50*'Расчёт'!$B$124</x:f>
        <x:v>44967239.72821465</x:v>
      </x:c>
      <x:c r="T50" s="3" t="n">
        <x:f>'Расчёт'!$F$28+Q50*'Расчёт'!$B$122+(O50+'Расчёт'!$F$32)*'Расчёт'!$B$123</x:f>
        <x:v>53473955.074304886</x:v>
      </x:c>
    </x:row>
    <x:row r="51">
      <x:c r="A51" s="3" t="n">
        <x:v>3200</x:v>
      </x:c>
      <x:c r="B51" s="3" t="n">
        <x:f>R51-T51</x:f>
        <x:v>-8502678.042870857</x:v>
      </x:c>
      <x:c r="C51" s="3" t="n">
        <x:f>S51-T51</x:f>
        <x:v>-8502678.042870857</x:v>
      </x:c>
      <x:c r="D51" s="3" t="str">
        <x:f>IF(AND(B51&gt;=0,B50&lt;0),A50+(A51-A50)*(-B50)/(B51-B50),"")</x:f>
      </x:c>
      <x:c r="E51" s="3" t="str">
        <x:f>IF(AND(C51&gt;=0,C50&lt;0),A50+(A51-A50)*(-C50)/(C51-C50),"")</x:f>
      </x:c>
      <x:c r="F51" s="3" t="n">
        <x:f>MIN(A51*(1-'Параметры'!$B$14)*'Параметры'!$B$15,'Параметры'!$B$23*(1-'Параметры'!$B$24))</x:f>
        <x:v>1792</x:v>
      </x:c>
      <x:c r="G51" s="3" t="n">
        <x:f>F51*'Параметры'!$B$25*'Параметры'!$B$26</x:f>
        <x:v>990.0799999999999</x:v>
      </x:c>
      <x:c r="H51" s="3" t="n">
        <x:f>MAX(0,A51-'Расчёт'!$D$8)</x:f>
        <x:v>0</x:v>
      </x:c>
      <x:c r="I51" s="3" t="n">
        <x:f>IF('Параметры'!$B$21*'Параметры'!$B$22=0,0,ROUNDUP(H51/('Расчёт'!$D$7*'Параметры'!$B$17*'Параметры'!$B$21*'Параметры'!$B$22),0))</x:f>
        <x:v>0</x:v>
      </x:c>
      <x:c r="J51" s="3" t="n">
        <x:f>MAX(0,H51-I51*'Расчёт'!$D$7*'Параметры'!$B$17*'Параметры'!$B$21*'Параметры'!$B$22)</x:f>
        <x:v>0</x:v>
      </x:c>
      <x:c r="K51" s="3" t="n">
        <x:f>IF('Параметры'!$B$21*'Параметры'!$B$22=0,0,ROUNDUP(MAX(0,A51-G51-'Расчёт'!$F$8)/('Расчёт'!$F$7*'Параметры'!$B$17*'Параметры'!$B$21*'Параметры'!$B$22),0))</x:f>
        <x:v>0</x:v>
      </x:c>
      <x:c r="L51" s="3" t="n">
        <x:f>MAX(0,A51-G51-'Расчёт'!$F$8-K51*'Расчёт'!$F$7*'Параметры'!$B$17*'Параметры'!$B$21*'Параметры'!$B$22)</x:f>
        <x:v>0</x:v>
      </x:c>
      <x:c r="M51" s="3" t="n">
        <x:f>MIN(H51,I51*'Расчёт'!$E$7*'Параметры'!$B$17*'Параметры'!$B$21*'Параметры'!$B$22)</x:f>
        <x:v>0</x:v>
      </x:c>
      <x:c r="N51" s="3" t="n">
        <x:f>MIN(MAX(0,A51-G51-'Расчёт'!$F$8),K51*'Расчёт'!$F$7*'Параметры'!$B$17*'Параметры'!$B$21*'Параметры'!$B$22)</x:f>
        <x:v>0</x:v>
      </x:c>
      <x:c r="O51" s="3" t="n">
        <x:f>'Расчёт'!$D$33+'Расчёт'!$D$34+'Расчёт'!$D$29+(A51*'Параметры'!$B$8+'Расчёт'!$D$6*('Параметры'!$B$9-'Параметры'!$B$8))*'Параметры'!$B$49*'Параметры'!$B$52+(H51*'Параметры'!$B$8+'Расчёт'!$D$20*('Параметры'!$B$9-'Параметры'!$B$8))*'Параметры'!$B$53</x:f>
        <x:v>13015032</x:v>
      </x:c>
      <x:c r="P51" s="3" t="n">
        <x:f>'Расчёт'!$E$33+'Расчёт'!$E$34+'Расчёт'!$E$29+I51*('Параметры'!$B$8*'Параметры'!$B$17*'Параметры'!$B$22*'Параметры'!$B$32+'Параметры'!$B$33+'Параметры'!$B$34*'Параметры'!$B$32+'Параметры'!$B$35)+((A51*'Параметры'!$B$8+'Расчёт'!$E$6*('Параметры'!$B$9-'Параметры'!$B$8))*'Параметры'!$B$49+M51*'Параметры'!$B$8*('Параметры'!$B$50-'Параметры'!$B$49))*'Параметры'!$B$52+(J51*'Параметры'!$B$8+'Расчёт'!$E$20*('Параметры'!$B$9-'Параметры'!$B$8))*'Параметры'!$B$53</x:f>
        <x:v>13015032</x:v>
      </x:c>
      <x:c r="Q51" s="3" t="n">
        <x:f>'Расчёт'!$F$33+'Расчёт'!$F$34+'Расчёт'!$F$29+'Расчёт'!$F$30+'Расчёт'!$F$32+K51*('Параметры'!$B$8*'Параметры'!$B$17*'Параметры'!$B$22*'Параметры'!$B$32+'Параметры'!$B$33+'Параметры'!$B$34*'Параметры'!$B$32+'Параметры'!$B$35)+((A51*'Параметры'!$B$8+'Расчёт'!$F$6*('Параметры'!$B$9-'Параметры'!$B$8))*'Параметры'!$B$49-(F51*'Параметры'!$B$8+'Расчёт'!$F$12*('Параметры'!$B$9-'Параметры'!$B$8))*('Параметры'!$B$49-'Параметры'!$B$51)+N51*'Параметры'!$B$8*('Параметры'!$B$50-'Параметры'!$B$49))*'Параметры'!$B$52+(L51*'Параметры'!$B$8+'Расчёт'!$F$20*('Параметры'!$B$9-'Параметры'!$B$8))*'Параметры'!$B$53</x:f>
        <x:v>13831406</x:v>
      </x:c>
      <x:c r="R51" s="3" t="n">
        <x:f>'Расчёт'!$D$28+O51*'Расчёт'!$B$124</x:f>
        <x:v>44981658.66828386</x:v>
      </x:c>
      <x:c r="S51" s="3" t="n">
        <x:f>'Расчёт'!$E$28+P51*'Расчёт'!$B$124</x:f>
        <x:v>44981658.66828386</x:v>
      </x:c>
      <x:c r="T51" s="3" t="n">
        <x:f>'Расчёт'!$F$28+Q51*'Расчёт'!$B$122+(O51+'Расчёт'!$F$32)*'Расчёт'!$B$123</x:f>
        <x:v>53484336.711154714</x:v>
      </x:c>
    </x:row>
    <x:row r="52">
      <x:c r="A52" s="3" t="n">
        <x:v>3250</x:v>
      </x:c>
      <x:c r="B52" s="3" t="n">
        <x:f>R52-T52</x:f>
        <x:v>-8498640.739651479</x:v>
      </x:c>
      <x:c r="C52" s="3" t="n">
        <x:f>S52-T52</x:f>
        <x:v>-8498640.739651479</x:v>
      </x:c>
      <x:c r="D52" s="3" t="str">
        <x:f>IF(AND(B52&gt;=0,B51&lt;0),A51+(A52-A51)*(-B51)/(B52-B51),"")</x:f>
      </x:c>
      <x:c r="E52" s="3" t="str">
        <x:f>IF(AND(C52&gt;=0,C51&lt;0),A51+(A52-A51)*(-C51)/(C52-C51),"")</x:f>
      </x:c>
      <x:c r="F52" s="3" t="n">
        <x:f>MIN(A52*(1-'Параметры'!$B$14)*'Параметры'!$B$15,'Параметры'!$B$23*(1-'Параметры'!$B$24))</x:f>
        <x:v>1819.9999999999998</x:v>
      </x:c>
      <x:c r="G52" s="3" t="n">
        <x:f>F52*'Параметры'!$B$25*'Параметры'!$B$26</x:f>
        <x:v>1005.55</x:v>
      </x:c>
      <x:c r="H52" s="3" t="n">
        <x:f>MAX(0,A52-'Расчёт'!$D$8)</x:f>
        <x:v>0</x:v>
      </x:c>
      <x:c r="I52" s="3" t="n">
        <x:f>IF('Параметры'!$B$21*'Параметры'!$B$22=0,0,ROUNDUP(H52/('Расчёт'!$D$7*'Параметры'!$B$17*'Параметры'!$B$21*'Параметры'!$B$22),0))</x:f>
        <x:v>0</x:v>
      </x:c>
      <x:c r="J52" s="3" t="n">
        <x:f>MAX(0,H52-I52*'Расчёт'!$D$7*'Параметры'!$B$17*'Параметры'!$B$21*'Параметры'!$B$22)</x:f>
        <x:v>0</x:v>
      </x:c>
      <x:c r="K52" s="3" t="n">
        <x:f>IF('Параметры'!$B$21*'Параметры'!$B$22=0,0,ROUNDUP(MAX(0,A52-G52-'Расчёт'!$F$8)/('Расчёт'!$F$7*'Параметры'!$B$17*'Параметры'!$B$21*'Параметры'!$B$22),0))</x:f>
        <x:v>0</x:v>
      </x:c>
      <x:c r="L52" s="3" t="n">
        <x:f>MAX(0,A52-G52-'Расчёт'!$F$8-K52*'Расчёт'!$F$7*'Параметры'!$B$17*'Параметры'!$B$21*'Параметры'!$B$22)</x:f>
        <x:v>0</x:v>
      </x:c>
      <x:c r="M52" s="3" t="n">
        <x:f>MIN(H52,I52*'Расчёт'!$E$7*'Параметры'!$B$17*'Параметры'!$B$21*'Параметры'!$B$22)</x:f>
        <x:v>0</x:v>
      </x:c>
      <x:c r="N52" s="3" t="n">
        <x:f>MIN(MAX(0,A52-G52-'Расчёт'!$F$8),K52*'Расчёт'!$F$7*'Параметры'!$B$17*'Параметры'!$B$21*'Параметры'!$B$22)</x:f>
        <x:v>0</x:v>
      </x:c>
      <x:c r="O52" s="3" t="n">
        <x:f>'Расчёт'!$D$33+'Расчёт'!$D$34+'Расчёт'!$D$29+(A52*'Параметры'!$B$8+'Расчёт'!$D$6*('Параметры'!$B$9-'Параметры'!$B$8))*'Параметры'!$B$49*'Параметры'!$B$52+(H52*'Параметры'!$B$8+'Расчёт'!$D$20*('Параметры'!$B$9-'Параметры'!$B$8))*'Параметры'!$B$53</x:f>
        <x:v>13019232</x:v>
      </x:c>
      <x:c r="P52" s="3" t="n">
        <x:f>'Расчёт'!$E$33+'Расчёт'!$E$34+'Расчёт'!$E$29+I52*('Параметры'!$B$8*'Параметры'!$B$17*'Параметры'!$B$22*'Параметры'!$B$32+'Параметры'!$B$33+'Параметры'!$B$34*'Параметры'!$B$32+'Параметры'!$B$35)+((A52*'Параметры'!$B$8+'Расчёт'!$E$6*('Параметры'!$B$9-'Параметры'!$B$8))*'Параметры'!$B$49+M52*'Параметры'!$B$8*('Параметры'!$B$50-'Параметры'!$B$49))*'Параметры'!$B$52+(J52*'Параметры'!$B$8+'Расчёт'!$E$20*('Параметры'!$B$9-'Параметры'!$B$8))*'Параметры'!$B$53</x:f>
        <x:v>13019232</x:v>
      </x:c>
      <x:c r="Q52" s="3" t="n">
        <x:f>'Расчёт'!$F$33+'Расчёт'!$F$34+'Расчёт'!$F$29+'Расчёт'!$F$30+'Расчёт'!$F$32+K52*('Параметры'!$B$8*'Параметры'!$B$17*'Параметры'!$B$22*'Параметры'!$B$32+'Параметры'!$B$33+'Параметры'!$B$34*'Параметры'!$B$32+'Параметры'!$B$35)+((A52*'Параметры'!$B$8+'Расчёт'!$F$6*('Параметры'!$B$9-'Параметры'!$B$8))*'Параметры'!$B$49-(F52*'Параметры'!$B$8+'Расчёт'!$F$12*('Параметры'!$B$9-'Параметры'!$B$8))*('Параметры'!$B$49-'Параметры'!$B$51)+N52*'Параметры'!$B$8*('Параметры'!$B$50-'Параметры'!$B$49))*'Параметры'!$B$52+(L52*'Параметры'!$B$8+'Расчёт'!$F$20*('Параметры'!$B$9-'Параметры'!$B$8))*'Параметры'!$B$53</x:f>
        <x:v>13834430</x:v>
      </x:c>
      <x:c r="R52" s="3" t="n">
        <x:f>'Расчёт'!$D$28+O52*'Расчёт'!$B$124</x:f>
        <x:v>44996077.60835306</x:v>
      </x:c>
      <x:c r="S52" s="3" t="n">
        <x:f>'Расчёт'!$E$28+P52*'Расчёт'!$B$124</x:f>
        <x:v>44996077.60835306</x:v>
      </x:c>
      <x:c r="T52" s="3" t="n">
        <x:f>'Расчёт'!$F$28+Q52*'Расчёт'!$B$122+(O52+'Расчёт'!$F$32)*'Расчёт'!$B$123</x:f>
        <x:v>53494718.34800454</x:v>
      </x:c>
    </x:row>
    <x:row r="53">
      <x:c r="A53" s="3" t="n">
        <x:v>3300</x:v>
      </x:c>
      <x:c r="B53" s="3" t="n">
        <x:f>R53-T53</x:f>
        <x:v>-8494603.4364321</x:v>
      </x:c>
      <x:c r="C53" s="3" t="n">
        <x:f>S53-T53</x:f>
        <x:v>-8494603.4364321</x:v>
      </x:c>
      <x:c r="D53" s="3" t="str">
        <x:f>IF(AND(B53&gt;=0,B52&lt;0),A52+(A53-A52)*(-B52)/(B53-B52),"")</x:f>
      </x:c>
      <x:c r="E53" s="3" t="str">
        <x:f>IF(AND(C53&gt;=0,C52&lt;0),A52+(A53-A52)*(-C52)/(C53-C52),"")</x:f>
      </x:c>
      <x:c r="F53" s="3" t="n">
        <x:f>MIN(A53*(1-'Параметры'!$B$14)*'Параметры'!$B$15,'Параметры'!$B$23*(1-'Параметры'!$B$24))</x:f>
        <x:v>1847.9999999999998</x:v>
      </x:c>
      <x:c r="G53" s="3" t="n">
        <x:f>F53*'Параметры'!$B$25*'Параметры'!$B$26</x:f>
        <x:v>1021.0199999999999</x:v>
      </x:c>
      <x:c r="H53" s="3" t="n">
        <x:f>MAX(0,A53-'Расчёт'!$D$8)</x:f>
        <x:v>0</x:v>
      </x:c>
      <x:c r="I53" s="3" t="n">
        <x:f>IF('Параметры'!$B$21*'Параметры'!$B$22=0,0,ROUNDUP(H53/('Расчёт'!$D$7*'Параметры'!$B$17*'Параметры'!$B$21*'Параметры'!$B$22),0))</x:f>
        <x:v>0</x:v>
      </x:c>
      <x:c r="J53" s="3" t="n">
        <x:f>MAX(0,H53-I53*'Расчёт'!$D$7*'Параметры'!$B$17*'Параметры'!$B$21*'Параметры'!$B$22)</x:f>
        <x:v>0</x:v>
      </x:c>
      <x:c r="K53" s="3" t="n">
        <x:f>IF('Параметры'!$B$21*'Параметры'!$B$22=0,0,ROUNDUP(MAX(0,A53-G53-'Расчёт'!$F$8)/('Расчёт'!$F$7*'Параметры'!$B$17*'Параметры'!$B$21*'Параметры'!$B$22),0))</x:f>
        <x:v>0</x:v>
      </x:c>
      <x:c r="L53" s="3" t="n">
        <x:f>MAX(0,A53-G53-'Расчёт'!$F$8-K53*'Расчёт'!$F$7*'Параметры'!$B$17*'Параметры'!$B$21*'Параметры'!$B$22)</x:f>
        <x:v>0</x:v>
      </x:c>
      <x:c r="M53" s="3" t="n">
        <x:f>MIN(H53,I53*'Расчёт'!$E$7*'Параметры'!$B$17*'Параметры'!$B$21*'Параметры'!$B$22)</x:f>
        <x:v>0</x:v>
      </x:c>
      <x:c r="N53" s="3" t="n">
        <x:f>MIN(MAX(0,A53-G53-'Расчёт'!$F$8),K53*'Расчёт'!$F$7*'Параметры'!$B$17*'Параметры'!$B$21*'Параметры'!$B$22)</x:f>
        <x:v>0</x:v>
      </x:c>
      <x:c r="O53" s="3" t="n">
        <x:f>'Расчёт'!$D$33+'Расчёт'!$D$34+'Расчёт'!$D$29+(A53*'Параметры'!$B$8+'Расчёт'!$D$6*('Параметры'!$B$9-'Параметры'!$B$8))*'Параметры'!$B$49*'Параметры'!$B$52+(H53*'Параметры'!$B$8+'Расчёт'!$D$20*('Параметры'!$B$9-'Параметры'!$B$8))*'Параметры'!$B$53</x:f>
        <x:v>13023432</x:v>
      </x:c>
      <x:c r="P53" s="3" t="n">
        <x:f>'Расчёт'!$E$33+'Расчёт'!$E$34+'Расчёт'!$E$29+I53*('Параметры'!$B$8*'Параметры'!$B$17*'Параметры'!$B$22*'Параметры'!$B$32+'Параметры'!$B$33+'Параметры'!$B$34*'Параметры'!$B$32+'Параметры'!$B$35)+((A53*'Параметры'!$B$8+'Расчёт'!$E$6*('Параметры'!$B$9-'Параметры'!$B$8))*'Параметры'!$B$49+M53*'Параметры'!$B$8*('Параметры'!$B$50-'Параметры'!$B$49))*'Параметры'!$B$52+(J53*'Параметры'!$B$8+'Расчёт'!$E$20*('Параметры'!$B$9-'Параметры'!$B$8))*'Параметры'!$B$53</x:f>
        <x:v>13023432</x:v>
      </x:c>
      <x:c r="Q53" s="3" t="n">
        <x:f>'Расчёт'!$F$33+'Расчёт'!$F$34+'Расчёт'!$F$29+'Расчёт'!$F$30+'Расчёт'!$F$32+K53*('Параметры'!$B$8*'Параметры'!$B$17*'Параметры'!$B$22*'Параметры'!$B$32+'Параметры'!$B$33+'Параметры'!$B$34*'Параметры'!$B$32+'Параметры'!$B$35)+((A53*'Параметры'!$B$8+'Расчёт'!$F$6*('Параметры'!$B$9-'Параметры'!$B$8))*'Параметры'!$B$49-(F53*'Параметры'!$B$8+'Расчёт'!$F$12*('Параметры'!$B$9-'Параметры'!$B$8))*('Параметры'!$B$49-'Параметры'!$B$51)+N53*'Параметры'!$B$8*('Параметры'!$B$50-'Параметры'!$B$49))*'Параметры'!$B$52+(L53*'Параметры'!$B$8+'Расчёт'!$F$20*('Параметры'!$B$9-'Параметры'!$B$8))*'Параметры'!$B$53</x:f>
        <x:v>13837454</x:v>
      </x:c>
      <x:c r="R53" s="3" t="n">
        <x:f>'Расчёт'!$D$28+O53*'Расчёт'!$B$124</x:f>
        <x:v>45010496.54842227</x:v>
      </x:c>
      <x:c r="S53" s="3" t="n">
        <x:f>'Расчёт'!$E$28+P53*'Расчёт'!$B$124</x:f>
        <x:v>45010496.54842227</x:v>
      </x:c>
      <x:c r="T53" s="3" t="n">
        <x:f>'Расчёт'!$F$28+Q53*'Расчёт'!$B$122+(O53+'Расчёт'!$F$32)*'Расчёт'!$B$123</x:f>
        <x:v>53505099.98485437</x:v>
      </x:c>
    </x:row>
    <x:row r="54">
      <x:c r="A54" s="3" t="n">
        <x:v>3350</x:v>
      </x:c>
      <x:c r="B54" s="3" t="n">
        <x:f>R54-T54</x:f>
        <x:v>-7803949.939441033</x:v>
      </x:c>
      <x:c r="C54" s="3" t="n">
        <x:f>S54-T54</x:f>
        <x:v>-7583546.141240321</x:v>
      </x:c>
      <x:c r="D54" s="3" t="str">
        <x:f>IF(AND(B54&gt;=0,B53&lt;0),A53+(A54-A53)*(-B53)/(B54-B53),"")</x:f>
      </x:c>
      <x:c r="E54" s="3" t="str">
        <x:f>IF(AND(C54&gt;=0,C53&lt;0),A53+(A54-A53)*(-C53)/(C54-C53),"")</x:f>
      </x:c>
      <x:c r="F54" s="3" t="n">
        <x:f>MIN(A54*(1-'Параметры'!$B$14)*'Параметры'!$B$15,'Параметры'!$B$23*(1-'Параметры'!$B$24))</x:f>
        <x:v>1875.9999999999998</x:v>
      </x:c>
      <x:c r="G54" s="3" t="n">
        <x:f>F54*'Параметры'!$B$25*'Параметры'!$B$26</x:f>
        <x:v>1036.4899999999998</x:v>
      </x:c>
      <x:c r="H54" s="3" t="n">
        <x:f>MAX(0,A54-'Расчёт'!$D$8)</x:f>
        <x:v>50</x:v>
      </x:c>
      <x:c r="I54" s="3" t="n">
        <x:f>IF('Параметры'!$B$21*'Параметры'!$B$22=0,0,ROUNDUP(H54/('Расчёт'!$D$7*'Параметры'!$B$17*'Параметры'!$B$21*'Параметры'!$B$22),0))</x:f>
        <x:v>1</x:v>
      </x:c>
      <x:c r="J54" s="3" t="n">
        <x:f>MAX(0,H54-I54*'Расчёт'!$D$7*'Параметры'!$B$17*'Параметры'!$B$21*'Параметры'!$B$22)</x:f>
        <x:v>0</x:v>
      </x:c>
      <x:c r="K54" s="3" t="n">
        <x:f>IF('Параметры'!$B$21*'Параметры'!$B$22=0,0,ROUNDUP(MAX(0,A54-G54-'Расчёт'!$F$8)/('Расчёт'!$F$7*'Параметры'!$B$17*'Параметры'!$B$21*'Параметры'!$B$22),0))</x:f>
        <x:v>0</x:v>
      </x:c>
      <x:c r="L54" s="3" t="n">
        <x:f>MAX(0,A54-G54-'Расчёт'!$F$8-K54*'Расчёт'!$F$7*'Параметры'!$B$17*'Параметры'!$B$21*'Параметры'!$B$22)</x:f>
        <x:v>0</x:v>
      </x:c>
      <x:c r="M54" s="3" t="n">
        <x:f>MIN(H54,I54*'Расчёт'!$E$7*'Параметры'!$B$17*'Параметры'!$B$21*'Параметры'!$B$22)</x:f>
        <x:v>50</x:v>
      </x:c>
      <x:c r="N54" s="3" t="n">
        <x:f>MIN(MAX(0,A54-G54-'Расчёт'!$F$8),K54*'Расчёт'!$F$7*'Параметры'!$B$17*'Параметры'!$B$21*'Параметры'!$B$22)</x:f>
        <x:v>0</x:v>
      </x:c>
      <x:c r="O54" s="3" t="n">
        <x:f>'Расчёт'!$D$33+'Расчёт'!$D$34+'Расчёт'!$D$29+(A54*'Параметры'!$B$8+'Расчёт'!$D$6*('Параметры'!$B$9-'Параметры'!$B$8))*'Параметры'!$B$49*'Параметры'!$B$52+(H54*'Параметры'!$B$8+'Расчёт'!$D$20*('Параметры'!$B$9-'Параметры'!$B$8))*'Параметры'!$B$53</x:f>
        <x:v>13227632</x:v>
      </x:c>
      <x:c r="P54" s="3" t="n">
        <x:f>'Расчёт'!$E$33+'Расчёт'!$E$34+'Расчёт'!$E$29+I54*('Параметры'!$B$8*'Параметры'!$B$17*'Параметры'!$B$22*'Параметры'!$B$32+'Параметры'!$B$33+'Параметры'!$B$34*'Параметры'!$B$32+'Параметры'!$B$35)+((A54*'Параметры'!$B$8+'Расчёт'!$E$6*('Параметры'!$B$9-'Параметры'!$B$8))*'Параметры'!$B$49+M54*'Параметры'!$B$8*('Параметры'!$B$50-'Параметры'!$B$49))*'Параметры'!$B$52+(J54*'Параметры'!$B$8+'Расчёт'!$E$20*('Параметры'!$B$9-'Параметры'!$B$8))*'Параметры'!$B$53</x:f>
        <x:v>13291832</x:v>
      </x:c>
      <x:c r="Q54" s="3" t="n">
        <x:f>'Расчёт'!$F$33+'Расчёт'!$F$34+'Расчёт'!$F$29+'Расчёт'!$F$30+'Расчёт'!$F$32+K54*('Параметры'!$B$8*'Параметры'!$B$17*'Параметры'!$B$22*'Параметры'!$B$32+'Параметры'!$B$33+'Параметры'!$B$34*'Параметры'!$B$32+'Параметры'!$B$35)+((A54*'Параметры'!$B$8+'Расчёт'!$F$6*('Параметры'!$B$9-'Параметры'!$B$8))*'Параметры'!$B$49-(F54*'Параметры'!$B$8+'Расчёт'!$F$12*('Параметры'!$B$9-'Параметры'!$B$8))*('Параметры'!$B$49-'Параметры'!$B$51)+N54*'Параметры'!$B$8*('Параметры'!$B$50-'Параметры'!$B$49))*'Параметры'!$B$52+(L54*'Параметры'!$B$8+'Расчёт'!$F$20*('Параметры'!$B$9-'Параметры'!$B$8))*'Параметры'!$B$53</x:f>
        <x:v>13840478</x:v>
      </x:c>
      <x:c r="R54" s="3" t="n">
        <x:f>'Расчёт'!$D$28+O54*'Расчёт'!$B$124</x:f>
        <x:v>45711531.682263166</x:v>
      </x:c>
      <x:c r="S54" s="3" t="n">
        <x:f>'Расчёт'!$E$28+P54*'Расчёт'!$B$124</x:f>
        <x:v>45931935.48046388</x:v>
      </x:c>
      <x:c r="T54" s="3" t="n">
        <x:f>'Расчёт'!$F$28+Q54*'Расчёт'!$B$122+(O54+'Расчёт'!$F$32)*'Расчёт'!$B$123</x:f>
        <x:v>53515481.6217042</x:v>
      </x:c>
    </x:row>
    <x:row r="55">
      <x:c r="A55" s="3" t="n">
        <x:v>3400</x:v>
      </x:c>
      <x:c r="B55" s="3" t="n">
        <x:f>R55-T55</x:f>
        <x:v>-7113296.442449965</x:v>
      </x:c>
      <x:c r="C55" s="3" t="n">
        <x:f>S55-T55</x:f>
        <x:v>-7567149.746533051</x:v>
      </x:c>
      <x:c r="D55" s="3" t="str">
        <x:f>IF(AND(B55&gt;=0,B54&lt;0),A54+(A55-A54)*(-B54)/(B55-B54),"")</x:f>
      </x:c>
      <x:c r="E55" s="3" t="str">
        <x:f>IF(AND(C55&gt;=0,C54&lt;0),A54+(A55-A54)*(-C54)/(C55-C54),"")</x:f>
      </x:c>
      <x:c r="F55" s="3" t="n">
        <x:f>MIN(A55*(1-'Параметры'!$B$14)*'Параметры'!$B$15,'Параметры'!$B$23*(1-'Параметры'!$B$24))</x:f>
        <x:v>1903.9999999999998</x:v>
      </x:c>
      <x:c r="G55" s="3" t="n">
        <x:f>F55*'Параметры'!$B$25*'Параметры'!$B$26</x:f>
        <x:v>1051.9599999999998</x:v>
      </x:c>
      <x:c r="H55" s="3" t="n">
        <x:f>MAX(0,A55-'Расчёт'!$D$8)</x:f>
        <x:v>100</x:v>
      </x:c>
      <x:c r="I55" s="3" t="n">
        <x:f>IF('Параметры'!$B$21*'Параметры'!$B$22=0,0,ROUNDUP(H55/('Расчёт'!$D$7*'Параметры'!$B$17*'Параметры'!$B$21*'Параметры'!$B$22),0))</x:f>
        <x:v>1</x:v>
      </x:c>
      <x:c r="J55" s="3" t="n">
        <x:f>MAX(0,H55-I55*'Расчёт'!$D$7*'Параметры'!$B$17*'Параметры'!$B$21*'Параметры'!$B$22)</x:f>
        <x:v>0</x:v>
      </x:c>
      <x:c r="K55" s="3" t="n">
        <x:f>IF('Параметры'!$B$21*'Параметры'!$B$22=0,0,ROUNDUP(MAX(0,A55-G55-'Расчёт'!$F$8)/('Расчёт'!$F$7*'Параметры'!$B$17*'Параметры'!$B$21*'Параметры'!$B$22),0))</x:f>
        <x:v>0</x:v>
      </x:c>
      <x:c r="L55" s="3" t="n">
        <x:f>MAX(0,A55-G55-'Расчёт'!$F$8-K55*'Расчёт'!$F$7*'Параметры'!$B$17*'Параметры'!$B$21*'Параметры'!$B$22)</x:f>
        <x:v>0</x:v>
      </x:c>
      <x:c r="M55" s="3" t="n">
        <x:f>MIN(H55,I55*'Расчёт'!$E$7*'Параметры'!$B$17*'Параметры'!$B$21*'Параметры'!$B$22)</x:f>
        <x:v>100</x:v>
      </x:c>
      <x:c r="N55" s="3" t="n">
        <x:f>MIN(MAX(0,A55-G55-'Расчёт'!$F$8),K55*'Расчёт'!$F$7*'Параметры'!$B$17*'Параметры'!$B$21*'Параметры'!$B$22)</x:f>
        <x:v>0</x:v>
      </x:c>
      <x:c r="O55" s="3" t="n">
        <x:f>'Расчёт'!$D$33+'Расчёт'!$D$34+'Расчёт'!$D$29+(A55*'Параметры'!$B$8+'Расчёт'!$D$6*('Параметры'!$B$9-'Параметры'!$B$8))*'Параметры'!$B$49*'Параметры'!$B$52+(H55*'Параметры'!$B$8+'Расчёт'!$D$20*('Параметры'!$B$9-'Параметры'!$B$8))*'Параметры'!$B$53</x:f>
        <x:v>13431832</x:v>
      </x:c>
      <x:c r="P55" s="3" t="n">
        <x:f>'Расчёт'!$E$33+'Расчёт'!$E$34+'Расчёт'!$E$29+I55*('Параметры'!$B$8*'Параметры'!$B$17*'Параметры'!$B$22*'Параметры'!$B$32+'Параметры'!$B$33+'Параметры'!$B$34*'Параметры'!$B$32+'Параметры'!$B$35)+((A55*'Параметры'!$B$8+'Расчёт'!$E$6*('Параметры'!$B$9-'Параметры'!$B$8))*'Параметры'!$B$49+M55*'Параметры'!$B$8*('Параметры'!$B$50-'Параметры'!$B$49))*'Параметры'!$B$52+(J55*'Параметры'!$B$8+'Расчёт'!$E$20*('Параметры'!$B$9-'Параметры'!$B$8))*'Параметры'!$B$53</x:f>
        <x:v>13299632</x:v>
      </x:c>
      <x:c r="Q55" s="3" t="n">
        <x:f>'Расчёт'!$F$33+'Расчёт'!$F$34+'Расчёт'!$F$29+'Расчёт'!$F$30+'Расчёт'!$F$32+K55*('Параметры'!$B$8*'Параметры'!$B$17*'Параметры'!$B$22*'Параметры'!$B$32+'Параметры'!$B$33+'Параметры'!$B$34*'Параметры'!$B$32+'Параметры'!$B$35)+((A55*'Параметры'!$B$8+'Расчёт'!$F$6*('Параметры'!$B$9-'Параметры'!$B$8))*'Параметры'!$B$49-(F55*'Параметры'!$B$8+'Расчёт'!$F$12*('Параметры'!$B$9-'Параметры'!$B$8))*('Параметры'!$B$49-'Параметры'!$B$51)+N55*'Параметры'!$B$8*('Параметры'!$B$50-'Параметры'!$B$49))*'Параметры'!$B$52+(L55*'Параметры'!$B$8+'Расчёт'!$F$20*('Параметры'!$B$9-'Параметры'!$B$8))*'Параметры'!$B$53</x:f>
        <x:v>13843502</x:v>
      </x:c>
      <x:c r="R55" s="3" t="n">
        <x:f>'Расчёт'!$D$28+O55*'Расчёт'!$B$124</x:f>
        <x:v>46412566.81610406</x:v>
      </x:c>
      <x:c r="S55" s="3" t="n">
        <x:f>'Расчёт'!$E$28+P55*'Расчёт'!$B$124</x:f>
        <x:v>45958713.512020975</x:v>
      </x:c>
      <x:c r="T55" s="3" t="n">
        <x:f>'Расчёт'!$F$28+Q55*'Расчёт'!$B$122+(O55+'Расчёт'!$F$32)*'Расчёт'!$B$123</x:f>
        <x:v>53525863.25855403</x:v>
      </x:c>
    </x:row>
    <x:row r="56">
      <x:c r="A56" s="3" t="n">
        <x:v>3450</x:v>
      </x:c>
      <x:c r="B56" s="3" t="n">
        <x:f>R56-T56</x:f>
        <x:v>-6422642.945458896</x:v>
      </x:c>
      <x:c r="C56" s="3" t="n">
        <x:f>S56-T56</x:f>
        <x:v>-7550753.351825789</x:v>
      </x:c>
      <x:c r="D56" s="3" t="str">
        <x:f>IF(AND(B56&gt;=0,B55&lt;0),A55+(A56-A55)*(-B55)/(B56-B55),"")</x:f>
      </x:c>
      <x:c r="E56" s="3" t="str">
        <x:f>IF(AND(C56&gt;=0,C55&lt;0),A55+(A56-A55)*(-C55)/(C56-C55),"")</x:f>
      </x:c>
      <x:c r="F56" s="3" t="n">
        <x:f>MIN(A56*(1-'Параметры'!$B$14)*'Параметры'!$B$15,'Параметры'!$B$23*(1-'Параметры'!$B$24))</x:f>
        <x:v>1931.9999999999998</x:v>
      </x:c>
      <x:c r="G56" s="3" t="n">
        <x:f>F56*'Параметры'!$B$25*'Параметры'!$B$26</x:f>
        <x:v>1067.4299999999998</x:v>
      </x:c>
      <x:c r="H56" s="3" t="n">
        <x:f>MAX(0,A56-'Расчёт'!$D$8)</x:f>
        <x:v>150</x:v>
      </x:c>
      <x:c r="I56" s="3" t="n">
        <x:f>IF('Параметры'!$B$21*'Параметры'!$B$22=0,0,ROUNDUP(H56/('Расчёт'!$D$7*'Параметры'!$B$17*'Параметры'!$B$21*'Параметры'!$B$22),0))</x:f>
        <x:v>1</x:v>
      </x:c>
      <x:c r="J56" s="3" t="n">
        <x:f>MAX(0,H56-I56*'Расчёт'!$D$7*'Параметры'!$B$17*'Параметры'!$B$21*'Параметры'!$B$22)</x:f>
        <x:v>0</x:v>
      </x:c>
      <x:c r="K56" s="3" t="n">
        <x:f>IF('Параметры'!$B$21*'Параметры'!$B$22=0,0,ROUNDUP(MAX(0,A56-G56-'Расчёт'!$F$8)/('Расчёт'!$F$7*'Параметры'!$B$17*'Параметры'!$B$21*'Параметры'!$B$22),0))</x:f>
        <x:v>0</x:v>
      </x:c>
      <x:c r="L56" s="3" t="n">
        <x:f>MAX(0,A56-G56-'Расчёт'!$F$8-K56*'Расчёт'!$F$7*'Параметры'!$B$17*'Параметры'!$B$21*'Параметры'!$B$22)</x:f>
        <x:v>0</x:v>
      </x:c>
      <x:c r="M56" s="3" t="n">
        <x:f>MIN(H56,I56*'Расчёт'!$E$7*'Параметры'!$B$17*'Параметры'!$B$21*'Параметры'!$B$22)</x:f>
        <x:v>150</x:v>
      </x:c>
      <x:c r="N56" s="3" t="n">
        <x:f>MIN(MAX(0,A56-G56-'Расчёт'!$F$8),K56*'Расчёт'!$F$7*'Параметры'!$B$17*'Параметры'!$B$21*'Параметры'!$B$22)</x:f>
        <x:v>0</x:v>
      </x:c>
      <x:c r="O56" s="3" t="n">
        <x:f>'Расчёт'!$D$33+'Расчёт'!$D$34+'Расчёт'!$D$29+(A56*'Параметры'!$B$8+'Расчёт'!$D$6*('Параметры'!$B$9-'Параметры'!$B$8))*'Параметры'!$B$49*'Параметры'!$B$52+(H56*'Параметры'!$B$8+'Расчёт'!$D$20*('Параметры'!$B$9-'Параметры'!$B$8))*'Параметры'!$B$53</x:f>
        <x:v>13636032</x:v>
      </x:c>
      <x:c r="P56" s="3" t="n">
        <x:f>'Расчёт'!$E$33+'Расчёт'!$E$34+'Расчёт'!$E$29+I56*('Параметры'!$B$8*'Параметры'!$B$17*'Параметры'!$B$22*'Параметры'!$B$32+'Параметры'!$B$33+'Параметры'!$B$34*'Параметры'!$B$32+'Параметры'!$B$35)+((A56*'Параметры'!$B$8+'Расчёт'!$E$6*('Параметры'!$B$9-'Параметры'!$B$8))*'Параметры'!$B$49+M56*'Параметры'!$B$8*('Параметры'!$B$50-'Параметры'!$B$49))*'Параметры'!$B$52+(J56*'Параметры'!$B$8+'Расчёт'!$E$20*('Параметры'!$B$9-'Параметры'!$B$8))*'Параметры'!$B$53</x:f>
        <x:v>13307432</x:v>
      </x:c>
      <x:c r="Q56" s="3" t="n">
        <x:f>'Расчёт'!$F$33+'Расчёт'!$F$34+'Расчёт'!$F$29+'Расчёт'!$F$30+'Расчёт'!$F$32+K56*('Параметры'!$B$8*'Параметры'!$B$17*'Параметры'!$B$22*'Параметры'!$B$32+'Параметры'!$B$33+'Параметры'!$B$34*'Параметры'!$B$32+'Параметры'!$B$35)+((A56*'Параметры'!$B$8+'Расчёт'!$F$6*('Параметры'!$B$9-'Параметры'!$B$8))*'Параметры'!$B$49-(F56*'Параметры'!$B$8+'Расчёт'!$F$12*('Параметры'!$B$9-'Параметры'!$B$8))*('Параметры'!$B$49-'Параметры'!$B$51)+N56*'Параметры'!$B$8*('Параметры'!$B$50-'Параметры'!$B$49))*'Параметры'!$B$52+(L56*'Параметры'!$B$8+'Расчёт'!$F$20*('Параметры'!$B$9-'Параметры'!$B$8))*'Параметры'!$B$53</x:f>
        <x:v>13846526</x:v>
      </x:c>
      <x:c r="R56" s="3" t="n">
        <x:f>'Расчёт'!$D$28+O56*'Расчёт'!$B$124</x:f>
        <x:v>47113601.94994496</x:v>
      </x:c>
      <x:c r="S56" s="3" t="n">
        <x:f>'Расчёт'!$E$28+P56*'Расчёт'!$B$124</x:f>
        <x:v>45985491.543578066</x:v>
      </x:c>
      <x:c r="T56" s="3" t="n">
        <x:f>'Расчёт'!$F$28+Q56*'Расчёт'!$B$122+(O56+'Расчёт'!$F$32)*'Расчёт'!$B$123</x:f>
        <x:v>53536244.895403855</x:v>
      </x:c>
    </x:row>
    <x:row r="57">
      <x:c r="A57" s="3" t="n">
        <x:v>3500</x:v>
      </x:c>
      <x:c r="B57" s="3" t="n">
        <x:f>R57-T57</x:f>
        <x:v>-5731989.448467828</x:v>
      </x:c>
      <x:c r="C57" s="3" t="n">
        <x:f>S57-T57</x:f>
        <x:v>-7534356.957118519</x:v>
      </x:c>
      <x:c r="D57" s="3" t="str">
        <x:f>IF(AND(B57&gt;=0,B56&lt;0),A56+(A57-A56)*(-B56)/(B57-B56),"")</x:f>
      </x:c>
      <x:c r="E57" s="3" t="str">
        <x:f>IF(AND(C57&gt;=0,C56&lt;0),A56+(A57-A56)*(-C56)/(C57-C56),"")</x:f>
      </x:c>
      <x:c r="F57" s="3" t="n">
        <x:f>MIN(A57*(1-'Параметры'!$B$14)*'Параметры'!$B$15,'Параметры'!$B$23*(1-'Параметры'!$B$24))</x:f>
        <x:v>1959.9999999999998</x:v>
      </x:c>
      <x:c r="G57" s="3" t="n">
        <x:f>F57*'Параметры'!$B$25*'Параметры'!$B$26</x:f>
        <x:v>1082.8999999999999</x:v>
      </x:c>
      <x:c r="H57" s="3" t="n">
        <x:f>MAX(0,A57-'Расчёт'!$D$8)</x:f>
        <x:v>200</x:v>
      </x:c>
      <x:c r="I57" s="3" t="n">
        <x:f>IF('Параметры'!$B$21*'Параметры'!$B$22=0,0,ROUNDUP(H57/('Расчёт'!$D$7*'Параметры'!$B$17*'Параметры'!$B$21*'Параметры'!$B$22),0))</x:f>
        <x:v>1</x:v>
      </x:c>
      <x:c r="J57" s="3" t="n">
        <x:f>MAX(0,H57-I57*'Расчёт'!$D$7*'Параметры'!$B$17*'Параметры'!$B$21*'Параметры'!$B$22)</x:f>
        <x:v>0</x:v>
      </x:c>
      <x:c r="K57" s="3" t="n">
        <x:f>IF('Параметры'!$B$21*'Параметры'!$B$22=0,0,ROUNDUP(MAX(0,A57-G57-'Расчёт'!$F$8)/('Расчёт'!$F$7*'Параметры'!$B$17*'Параметры'!$B$21*'Параметры'!$B$22),0))</x:f>
        <x:v>0</x:v>
      </x:c>
      <x:c r="L57" s="3" t="n">
        <x:f>MAX(0,A57-G57-'Расчёт'!$F$8-K57*'Расчёт'!$F$7*'Параметры'!$B$17*'Параметры'!$B$21*'Параметры'!$B$22)</x:f>
        <x:v>0</x:v>
      </x:c>
      <x:c r="M57" s="3" t="n">
        <x:f>MIN(H57,I57*'Расчёт'!$E$7*'Параметры'!$B$17*'Параметры'!$B$21*'Параметры'!$B$22)</x:f>
        <x:v>200</x:v>
      </x:c>
      <x:c r="N57" s="3" t="n">
        <x:f>MIN(MAX(0,A57-G57-'Расчёт'!$F$8),K57*'Расчёт'!$F$7*'Параметры'!$B$17*'Параметры'!$B$21*'Параметры'!$B$22)</x:f>
        <x:v>0</x:v>
      </x:c>
      <x:c r="O57" s="3" t="n">
        <x:f>'Расчёт'!$D$33+'Расчёт'!$D$34+'Расчёт'!$D$29+(A57*'Параметры'!$B$8+'Расчёт'!$D$6*('Параметры'!$B$9-'Параметры'!$B$8))*'Параметры'!$B$49*'Параметры'!$B$52+(H57*'Параметры'!$B$8+'Расчёт'!$D$20*('Параметры'!$B$9-'Параметры'!$B$8))*'Параметры'!$B$53</x:f>
        <x:v>13840232</x:v>
      </x:c>
      <x:c r="P57" s="3" t="n">
        <x:f>'Расчёт'!$E$33+'Расчёт'!$E$34+'Расчёт'!$E$29+I57*('Параметры'!$B$8*'Параметры'!$B$17*'Параметры'!$B$22*'Параметры'!$B$32+'Параметры'!$B$33+'Параметры'!$B$34*'Параметры'!$B$32+'Параметры'!$B$35)+((A57*'Параметры'!$B$8+'Расчёт'!$E$6*('Параметры'!$B$9-'Параметры'!$B$8))*'Параметры'!$B$49+M57*'Параметры'!$B$8*('Параметры'!$B$50-'Параметры'!$B$49))*'Параметры'!$B$52+(J57*'Параметры'!$B$8+'Расчёт'!$E$20*('Параметры'!$B$9-'Параметры'!$B$8))*'Параметры'!$B$53</x:f>
        <x:v>13315232</x:v>
      </x:c>
      <x:c r="Q57" s="3" t="n">
        <x:f>'Расчёт'!$F$33+'Расчёт'!$F$34+'Расчёт'!$F$29+'Расчёт'!$F$30+'Расчёт'!$F$32+K57*('Параметры'!$B$8*'Параметры'!$B$17*'Параметры'!$B$22*'Параметры'!$B$32+'Параметры'!$B$33+'Параметры'!$B$34*'Параметры'!$B$32+'Параметры'!$B$35)+((A57*'Параметры'!$B$8+'Расчёт'!$F$6*('Параметры'!$B$9-'Параметры'!$B$8))*'Параметры'!$B$49-(F57*'Параметры'!$B$8+'Расчёт'!$F$12*('Параметры'!$B$9-'Параметры'!$B$8))*('Параметры'!$B$49-'Параметры'!$B$51)+N57*'Параметры'!$B$8*('Параметры'!$B$50-'Параметры'!$B$49))*'Параметры'!$B$52+(L57*'Параметры'!$B$8+'Расчёт'!$F$20*('Параметры'!$B$9-'Параметры'!$B$8))*'Параметры'!$B$53</x:f>
        <x:v>13849550</x:v>
      </x:c>
      <x:c r="R57" s="3" t="n">
        <x:f>'Расчёт'!$D$28+O57*'Расчёт'!$B$124</x:f>
        <x:v>47814637.083785854</x:v>
      </x:c>
      <x:c r="S57" s="3" t="n">
        <x:f>'Расчёт'!$E$28+P57*'Расчёт'!$B$124</x:f>
        <x:v>46012269.575135164</x:v>
      </x:c>
      <x:c r="T57" s="3" t="n">
        <x:f>'Расчёт'!$F$28+Q57*'Расчёт'!$B$122+(O57+'Расчёт'!$F$32)*'Расчёт'!$B$123</x:f>
        <x:v>53546626.53225368</x:v>
      </x:c>
    </x:row>
    <x:row r="58">
      <x:c r="A58" s="3" t="n">
        <x:v>3550</x:v>
      </x:c>
      <x:c r="B58" s="3" t="n">
        <x:f>R58-T58</x:f>
        <x:v>-5041335.95147676</x:v>
      </x:c>
      <x:c r="C58" s="3" t="n">
        <x:f>S58-T58</x:f>
        <x:v>-7517960.562411249</x:v>
      </x:c>
      <x:c r="D58" s="3" t="str">
        <x:f>IF(AND(B58&gt;=0,B57&lt;0),A57+(A58-A57)*(-B57)/(B58-B57),"")</x:f>
      </x:c>
      <x:c r="E58" s="3" t="str">
        <x:f>IF(AND(C58&gt;=0,C57&lt;0),A57+(A58-A57)*(-C57)/(C58-C57),"")</x:f>
      </x:c>
      <x:c r="F58" s="3" t="n">
        <x:f>MIN(A58*(1-'Параметры'!$B$14)*'Параметры'!$B$15,'Параметры'!$B$23*(1-'Параметры'!$B$24))</x:f>
        <x:v>1987.9999999999998</x:v>
      </x:c>
      <x:c r="G58" s="3" t="n">
        <x:f>F58*'Параметры'!$B$25*'Параметры'!$B$26</x:f>
        <x:v>1098.37</x:v>
      </x:c>
      <x:c r="H58" s="3" t="n">
        <x:f>MAX(0,A58-'Расчёт'!$D$8)</x:f>
        <x:v>250</x:v>
      </x:c>
      <x:c r="I58" s="3" t="n">
        <x:f>IF('Параметры'!$B$21*'Параметры'!$B$22=0,0,ROUNDUP(H58/('Расчёт'!$D$7*'Параметры'!$B$17*'Параметры'!$B$21*'Параметры'!$B$22),0))</x:f>
        <x:v>1</x:v>
      </x:c>
      <x:c r="J58" s="3" t="n">
        <x:f>MAX(0,H58-I58*'Расчёт'!$D$7*'Параметры'!$B$17*'Параметры'!$B$21*'Параметры'!$B$22)</x:f>
        <x:v>0</x:v>
      </x:c>
      <x:c r="K58" s="3" t="n">
        <x:f>IF('Параметры'!$B$21*'Параметры'!$B$22=0,0,ROUNDUP(MAX(0,A58-G58-'Расчёт'!$F$8)/('Расчёт'!$F$7*'Параметры'!$B$17*'Параметры'!$B$21*'Параметры'!$B$22),0))</x:f>
        <x:v>0</x:v>
      </x:c>
      <x:c r="L58" s="3" t="n">
        <x:f>MAX(0,A58-G58-'Расчёт'!$F$8-K58*'Расчёт'!$F$7*'Параметры'!$B$17*'Параметры'!$B$21*'Параметры'!$B$22)</x:f>
        <x:v>0</x:v>
      </x:c>
      <x:c r="M58" s="3" t="n">
        <x:f>MIN(H58,I58*'Расчёт'!$E$7*'Параметры'!$B$17*'Параметры'!$B$21*'Параметры'!$B$22)</x:f>
        <x:v>250</x:v>
      </x:c>
      <x:c r="N58" s="3" t="n">
        <x:f>MIN(MAX(0,A58-G58-'Расчёт'!$F$8),K58*'Расчёт'!$F$7*'Параметры'!$B$17*'Параметры'!$B$21*'Параметры'!$B$22)</x:f>
        <x:v>0</x:v>
      </x:c>
      <x:c r="O58" s="3" t="n">
        <x:f>'Расчёт'!$D$33+'Расчёт'!$D$34+'Расчёт'!$D$29+(A58*'Параметры'!$B$8+'Расчёт'!$D$6*('Параметры'!$B$9-'Параметры'!$B$8))*'Параметры'!$B$49*'Параметры'!$B$52+(H58*'Параметры'!$B$8+'Расчёт'!$D$20*('Параметры'!$B$9-'Параметры'!$B$8))*'Параметры'!$B$53</x:f>
        <x:v>14044432</x:v>
      </x:c>
      <x:c r="P58" s="3" t="n">
        <x:f>'Расчёт'!$E$33+'Расчёт'!$E$34+'Расчёт'!$E$29+I58*('Параметры'!$B$8*'Параметры'!$B$17*'Параметры'!$B$22*'Параметры'!$B$32+'Параметры'!$B$33+'Параметры'!$B$34*'Параметры'!$B$32+'Параметры'!$B$35)+((A58*'Параметры'!$B$8+'Расчёт'!$E$6*('Параметры'!$B$9-'Параметры'!$B$8))*'Параметры'!$B$49+M58*'Параметры'!$B$8*('Параметры'!$B$50-'Параметры'!$B$49))*'Параметры'!$B$52+(J58*'Параметры'!$B$8+'Расчёт'!$E$20*('Параметры'!$B$9-'Параметры'!$B$8))*'Параметры'!$B$53</x:f>
        <x:v>13323032</x:v>
      </x:c>
      <x:c r="Q58" s="3" t="n">
        <x:f>'Расчёт'!$F$33+'Расчёт'!$F$34+'Расчёт'!$F$29+'Расчёт'!$F$30+'Расчёт'!$F$32+K58*('Параметры'!$B$8*'Параметры'!$B$17*'Параметры'!$B$22*'Параметры'!$B$32+'Параметры'!$B$33+'Параметры'!$B$34*'Параметры'!$B$32+'Параметры'!$B$35)+((A58*'Параметры'!$B$8+'Расчёт'!$F$6*('Параметры'!$B$9-'Параметры'!$B$8))*'Параметры'!$B$49-(F58*'Параметры'!$B$8+'Расчёт'!$F$12*('Параметры'!$B$9-'Параметры'!$B$8))*('Параметры'!$B$49-'Параметры'!$B$51)+N58*'Параметры'!$B$8*('Параметры'!$B$50-'Параметры'!$B$49))*'Параметры'!$B$52+(L58*'Параметры'!$B$8+'Расчёт'!$F$20*('Параметры'!$B$9-'Параметры'!$B$8))*'Параметры'!$B$53</x:f>
        <x:v>13852574</x:v>
      </x:c>
      <x:c r="R58" s="3" t="n">
        <x:f>'Расчёт'!$D$28+O58*'Расчёт'!$B$124</x:f>
        <x:v>48515672.21762675</x:v>
      </x:c>
      <x:c r="S58" s="3" t="n">
        <x:f>'Расчёт'!$E$28+P58*'Расчёт'!$B$124</x:f>
        <x:v>46039047.60669226</x:v>
      </x:c>
      <x:c r="T58" s="3" t="n">
        <x:f>'Расчёт'!$F$28+Q58*'Расчёт'!$B$122+(O58+'Расчёт'!$F$32)*'Расчёт'!$B$123</x:f>
        <x:v>53557008.16910351</x:v>
      </x:c>
    </x:row>
    <x:row r="59">
      <x:c r="A59" s="3" t="n">
        <x:v>3600</x:v>
      </x:c>
      <x:c r="B59" s="3" t="n">
        <x:f>R59-T59</x:f>
        <x:v>-4350682.454485677</x:v>
      </x:c>
      <x:c r="C59" s="3" t="n">
        <x:f>S59-T59</x:f>
        <x:v>-7501564.167703971</x:v>
      </x:c>
      <x:c r="D59" s="3" t="str">
        <x:f>IF(AND(B59&gt;=0,B58&lt;0),A58+(A59-A58)*(-B58)/(B59-B58),"")</x:f>
      </x:c>
      <x:c r="E59" s="3" t="str">
        <x:f>IF(AND(C59&gt;=0,C58&lt;0),A58+(A59-A58)*(-C58)/(C59-C58),"")</x:f>
      </x:c>
      <x:c r="F59" s="3" t="n">
        <x:f>MIN(A59*(1-'Параметры'!$B$14)*'Параметры'!$B$15,'Параметры'!$B$23*(1-'Параметры'!$B$24))</x:f>
        <x:v>2015.9999999999998</x:v>
      </x:c>
      <x:c r="G59" s="3" t="n">
        <x:f>F59*'Параметры'!$B$25*'Параметры'!$B$26</x:f>
        <x:v>1113.84</x:v>
      </x:c>
      <x:c r="H59" s="3" t="n">
        <x:f>MAX(0,A59-'Расчёт'!$D$8)</x:f>
        <x:v>300</x:v>
      </x:c>
      <x:c r="I59" s="3" t="n">
        <x:f>IF('Параметры'!$B$21*'Параметры'!$B$22=0,0,ROUNDUP(H59/('Расчёт'!$D$7*'Параметры'!$B$17*'Параметры'!$B$21*'Параметры'!$B$22),0))</x:f>
        <x:v>1</x:v>
      </x:c>
      <x:c r="J59" s="3" t="n">
        <x:f>MAX(0,H59-I59*'Расчёт'!$D$7*'Параметры'!$B$17*'Параметры'!$B$21*'Параметры'!$B$22)</x:f>
        <x:v>0</x:v>
      </x:c>
      <x:c r="K59" s="3" t="n">
        <x:f>IF('Параметры'!$B$21*'Параметры'!$B$22=0,0,ROUNDUP(MAX(0,A59-G59-'Расчёт'!$F$8)/('Расчёт'!$F$7*'Параметры'!$B$17*'Параметры'!$B$21*'Параметры'!$B$22),0))</x:f>
        <x:v>0</x:v>
      </x:c>
      <x:c r="L59" s="3" t="n">
        <x:f>MAX(0,A59-G59-'Расчёт'!$F$8-K59*'Расчёт'!$F$7*'Параметры'!$B$17*'Параметры'!$B$21*'Параметры'!$B$22)</x:f>
        <x:v>0</x:v>
      </x:c>
      <x:c r="M59" s="3" t="n">
        <x:f>MIN(H59,I59*'Расчёт'!$E$7*'Параметры'!$B$17*'Параметры'!$B$21*'Параметры'!$B$22)</x:f>
        <x:v>300</x:v>
      </x:c>
      <x:c r="N59" s="3" t="n">
        <x:f>MIN(MAX(0,A59-G59-'Расчёт'!$F$8),K59*'Расчёт'!$F$7*'Параметры'!$B$17*'Параметры'!$B$21*'Параметры'!$B$22)</x:f>
        <x:v>0</x:v>
      </x:c>
      <x:c r="O59" s="3" t="n">
        <x:f>'Расчёт'!$D$33+'Расчёт'!$D$34+'Расчёт'!$D$29+(A59*'Параметры'!$B$8+'Расчёт'!$D$6*('Параметры'!$B$9-'Параметры'!$B$8))*'Параметры'!$B$49*'Параметры'!$B$52+(H59*'Параметры'!$B$8+'Расчёт'!$D$20*('Параметры'!$B$9-'Параметры'!$B$8))*'Параметры'!$B$53</x:f>
        <x:v>14248632</x:v>
      </x:c>
      <x:c r="P59" s="3" t="n">
        <x:f>'Расчёт'!$E$33+'Расчёт'!$E$34+'Расчёт'!$E$29+I59*('Параметры'!$B$8*'Параметры'!$B$17*'Параметры'!$B$22*'Параметры'!$B$32+'Параметры'!$B$33+'Параметры'!$B$34*'Параметры'!$B$32+'Параметры'!$B$35)+((A59*'Параметры'!$B$8+'Расчёт'!$E$6*('Параметры'!$B$9-'Параметры'!$B$8))*'Параметры'!$B$49+M59*'Параметры'!$B$8*('Параметры'!$B$50-'Параметры'!$B$49))*'Параметры'!$B$52+(J59*'Параметры'!$B$8+'Расчёт'!$E$20*('Параметры'!$B$9-'Параметры'!$B$8))*'Параметры'!$B$53</x:f>
        <x:v>13330832</x:v>
      </x:c>
      <x:c r="Q59" s="3" t="n">
        <x:f>'Расчёт'!$F$33+'Расчёт'!$F$34+'Расчёт'!$F$29+'Расчёт'!$F$30+'Расчёт'!$F$32+K59*('Параметры'!$B$8*'Параметры'!$B$17*'Параметры'!$B$22*'Параметры'!$B$32+'Параметры'!$B$33+'Параметры'!$B$34*'Параметры'!$B$32+'Параметры'!$B$35)+((A59*'Параметры'!$B$8+'Расчёт'!$F$6*('Параметры'!$B$9-'Параметры'!$B$8))*'Параметры'!$B$49-(F59*'Параметры'!$B$8+'Расчёт'!$F$12*('Параметры'!$B$9-'Параметры'!$B$8))*('Параметры'!$B$49-'Параметры'!$B$51)+N59*'Параметры'!$B$8*('Параметры'!$B$50-'Параметры'!$B$49))*'Параметры'!$B$52+(L59*'Параметры'!$B$8+'Расчёт'!$F$20*('Параметры'!$B$9-'Параметры'!$B$8))*'Параметры'!$B$53</x:f>
        <x:v>13855598</x:v>
      </x:c>
      <x:c r="R59" s="3" t="n">
        <x:f>'Расчёт'!$D$28+O59*'Расчёт'!$B$124</x:f>
        <x:v>49216707.351467654</x:v>
      </x:c>
      <x:c r="S59" s="3" t="n">
        <x:f>'Расчёт'!$E$28+P59*'Расчёт'!$B$124</x:f>
        <x:v>46065825.63824936</x:v>
      </x:c>
      <x:c r="T59" s="3" t="n">
        <x:f>'Расчёт'!$F$28+Q59*'Расчёт'!$B$122+(O59+'Расчёт'!$F$32)*'Расчёт'!$B$123</x:f>
        <x:v>53567389.80595333</x:v>
      </x:c>
    </x:row>
    <x:row r="60">
      <x:c r="A60" s="3" t="n">
        <x:v>3650</x:v>
      </x:c>
      <x:c r="B60" s="3" t="n">
        <x:f>R60-T60</x:f>
        <x:v>-3660028.957494609</x:v>
      </x:c>
      <x:c r="C60" s="3" t="n">
        <x:f>S60-T60</x:f>
        <x:v>-7485167.772996709</x:v>
      </x:c>
      <x:c r="D60" s="3" t="str">
        <x:f>IF(AND(B60&gt;=0,B59&lt;0),A59+(A60-A59)*(-B59)/(B60-B59),"")</x:f>
      </x:c>
      <x:c r="E60" s="3" t="str">
        <x:f>IF(AND(C60&gt;=0,C59&lt;0),A59+(A60-A59)*(-C59)/(C60-C59),"")</x:f>
      </x:c>
      <x:c r="F60" s="3" t="n">
        <x:f>MIN(A60*(1-'Параметры'!$B$14)*'Параметры'!$B$15,'Параметры'!$B$23*(1-'Параметры'!$B$24))</x:f>
        <x:v>2043.9999999999998</x:v>
      </x:c>
      <x:c r="G60" s="3" t="n">
        <x:f>F60*'Параметры'!$B$25*'Параметры'!$B$26</x:f>
        <x:v>1129.31</x:v>
      </x:c>
      <x:c r="H60" s="3" t="n">
        <x:f>MAX(0,A60-'Расчёт'!$D$8)</x:f>
        <x:v>350</x:v>
      </x:c>
      <x:c r="I60" s="3" t="n">
        <x:f>IF('Параметры'!$B$21*'Параметры'!$B$22=0,0,ROUNDUP(H60/('Расчёт'!$D$7*'Параметры'!$B$17*'Параметры'!$B$21*'Параметры'!$B$22),0))</x:f>
        <x:v>1</x:v>
      </x:c>
      <x:c r="J60" s="3" t="n">
        <x:f>MAX(0,H60-I60*'Расчёт'!$D$7*'Параметры'!$B$17*'Параметры'!$B$21*'Параметры'!$B$22)</x:f>
        <x:v>0</x:v>
      </x:c>
      <x:c r="K60" s="3" t="n">
        <x:f>IF('Параметры'!$B$21*'Параметры'!$B$22=0,0,ROUNDUP(MAX(0,A60-G60-'Расчёт'!$F$8)/('Расчёт'!$F$7*'Параметры'!$B$17*'Параметры'!$B$21*'Параметры'!$B$22),0))</x:f>
        <x:v>0</x:v>
      </x:c>
      <x:c r="L60" s="3" t="n">
        <x:f>MAX(0,A60-G60-'Расчёт'!$F$8-K60*'Расчёт'!$F$7*'Параметры'!$B$17*'Параметры'!$B$21*'Параметры'!$B$22)</x:f>
        <x:v>0</x:v>
      </x:c>
      <x:c r="M60" s="3" t="n">
        <x:f>MIN(H60,I60*'Расчёт'!$E$7*'Параметры'!$B$17*'Параметры'!$B$21*'Параметры'!$B$22)</x:f>
        <x:v>350</x:v>
      </x:c>
      <x:c r="N60" s="3" t="n">
        <x:f>MIN(MAX(0,A60-G60-'Расчёт'!$F$8),K60*'Расчёт'!$F$7*'Параметры'!$B$17*'Параметры'!$B$21*'Параметры'!$B$22)</x:f>
        <x:v>0</x:v>
      </x:c>
      <x:c r="O60" s="3" t="n">
        <x:f>'Расчёт'!$D$33+'Расчёт'!$D$34+'Расчёт'!$D$29+(A60*'Параметры'!$B$8+'Расчёт'!$D$6*('Параметры'!$B$9-'Параметры'!$B$8))*'Параметры'!$B$49*'Параметры'!$B$52+(H60*'Параметры'!$B$8+'Расчёт'!$D$20*('Параметры'!$B$9-'Параметры'!$B$8))*'Параметры'!$B$53</x:f>
        <x:v>14452832</x:v>
      </x:c>
      <x:c r="P60" s="3" t="n">
        <x:f>'Расчёт'!$E$33+'Расчёт'!$E$34+'Расчёт'!$E$29+I60*('Параметры'!$B$8*'Параметры'!$B$17*'Параметры'!$B$22*'Параметры'!$B$32+'Параметры'!$B$33+'Параметры'!$B$34*'Параметры'!$B$32+'Параметры'!$B$35)+((A60*'Параметры'!$B$8+'Расчёт'!$E$6*('Параметры'!$B$9-'Параметры'!$B$8))*'Параметры'!$B$49+M60*'Параметры'!$B$8*('Параметры'!$B$50-'Параметры'!$B$49))*'Параметры'!$B$52+(J60*'Параметры'!$B$8+'Расчёт'!$E$20*('Параметры'!$B$9-'Параметры'!$B$8))*'Параметры'!$B$53</x:f>
        <x:v>13338632</x:v>
      </x:c>
      <x:c r="Q60" s="3" t="n">
        <x:f>'Расчёт'!$F$33+'Расчёт'!$F$34+'Расчёт'!$F$29+'Расчёт'!$F$30+'Расчёт'!$F$32+K60*('Параметры'!$B$8*'Параметры'!$B$17*'Параметры'!$B$22*'Параметры'!$B$32+'Параметры'!$B$33+'Параметры'!$B$34*'Параметры'!$B$32+'Параметры'!$B$35)+((A60*'Параметры'!$B$8+'Расчёт'!$F$6*('Параметры'!$B$9-'Параметры'!$B$8))*'Параметры'!$B$49-(F60*'Параметры'!$B$8+'Расчёт'!$F$12*('Параметры'!$B$9-'Параметры'!$B$8))*('Параметры'!$B$49-'Параметры'!$B$51)+N60*'Параметры'!$B$8*('Параметры'!$B$50-'Параметры'!$B$49))*'Параметры'!$B$52+(L60*'Параметры'!$B$8+'Расчёт'!$F$20*('Параметры'!$B$9-'Параметры'!$B$8))*'Параметры'!$B$53</x:f>
        <x:v>13858622</x:v>
      </x:c>
      <x:c r="R60" s="3" t="n">
        <x:f>'Расчёт'!$D$28+O60*'Расчёт'!$B$124</x:f>
        <x:v>49917742.48530855</x:v>
      </x:c>
      <x:c r="S60" s="3" t="n">
        <x:f>'Расчёт'!$E$28+P60*'Расчёт'!$B$124</x:f>
        <x:v>46092603.66980645</x:v>
      </x:c>
      <x:c r="T60" s="3" t="n">
        <x:f>'Расчёт'!$F$28+Q60*'Расчёт'!$B$122+(O60+'Расчёт'!$F$32)*'Расчёт'!$B$123</x:f>
        <x:v>53577771.44280316</x:v>
      </x:c>
    </x:row>
    <x:row r="61">
      <x:c r="A61" s="3" t="n">
        <x:v>3700</x:v>
      </x:c>
      <x:c r="B61" s="3" t="n">
        <x:f>R61-T61</x:f>
        <x:v>-2969375.460503541</x:v>
      </x:c>
      <x:c r="C61" s="3" t="n">
        <x:f>S61-T61</x:f>
        <x:v>-7468771.378289439</x:v>
      </x:c>
      <x:c r="D61" s="3" t="str">
        <x:f>IF(AND(B61&gt;=0,B60&lt;0),A60+(A61-A60)*(-B60)/(B61-B60),"")</x:f>
      </x:c>
      <x:c r="E61" s="3" t="str">
        <x:f>IF(AND(C61&gt;=0,C60&lt;0),A60+(A61-A60)*(-C60)/(C61-C60),"")</x:f>
      </x:c>
      <x:c r="F61" s="3" t="n">
        <x:f>MIN(A61*(1-'Параметры'!$B$14)*'Параметры'!$B$15,'Параметры'!$B$23*(1-'Параметры'!$B$24))</x:f>
        <x:v>2072</x:v>
      </x:c>
      <x:c r="G61" s="3" t="n">
        <x:f>F61*'Параметры'!$B$25*'Параметры'!$B$26</x:f>
        <x:v>1144.78</x:v>
      </x:c>
      <x:c r="H61" s="3" t="n">
        <x:f>MAX(0,A61-'Расчёт'!$D$8)</x:f>
        <x:v>400</x:v>
      </x:c>
      <x:c r="I61" s="3" t="n">
        <x:f>IF('Параметры'!$B$21*'Параметры'!$B$22=0,0,ROUNDUP(H61/('Расчёт'!$D$7*'Параметры'!$B$17*'Параметры'!$B$21*'Параметры'!$B$22),0))</x:f>
        <x:v>1</x:v>
      </x:c>
      <x:c r="J61" s="3" t="n">
        <x:f>MAX(0,H61-I61*'Расчёт'!$D$7*'Параметры'!$B$17*'Параметры'!$B$21*'Параметры'!$B$22)</x:f>
        <x:v>0</x:v>
      </x:c>
      <x:c r="K61" s="3" t="n">
        <x:f>IF('Параметры'!$B$21*'Параметры'!$B$22=0,0,ROUNDUP(MAX(0,A61-G61-'Расчёт'!$F$8)/('Расчёт'!$F$7*'Параметры'!$B$17*'Параметры'!$B$21*'Параметры'!$B$22),0))</x:f>
        <x:v>0</x:v>
      </x:c>
      <x:c r="L61" s="3" t="n">
        <x:f>MAX(0,A61-G61-'Расчёт'!$F$8-K61*'Расчёт'!$F$7*'Параметры'!$B$17*'Параметры'!$B$21*'Параметры'!$B$22)</x:f>
        <x:v>0</x:v>
      </x:c>
      <x:c r="M61" s="3" t="n">
        <x:f>MIN(H61,I61*'Расчёт'!$E$7*'Параметры'!$B$17*'Параметры'!$B$21*'Параметры'!$B$22)</x:f>
        <x:v>400</x:v>
      </x:c>
      <x:c r="N61" s="3" t="n">
        <x:f>MIN(MAX(0,A61-G61-'Расчёт'!$F$8),K61*'Расчёт'!$F$7*'Параметры'!$B$17*'Параметры'!$B$21*'Параметры'!$B$22)</x:f>
        <x:v>0</x:v>
      </x:c>
      <x:c r="O61" s="3" t="n">
        <x:f>'Расчёт'!$D$33+'Расчёт'!$D$34+'Расчёт'!$D$29+(A61*'Параметры'!$B$8+'Расчёт'!$D$6*('Параметры'!$B$9-'Параметры'!$B$8))*'Параметры'!$B$49*'Параметры'!$B$52+(H61*'Параметры'!$B$8+'Расчёт'!$D$20*('Параметры'!$B$9-'Параметры'!$B$8))*'Параметры'!$B$53</x:f>
        <x:v>14657032</x:v>
      </x:c>
      <x:c r="P61" s="3" t="n">
        <x:f>'Расчёт'!$E$33+'Расчёт'!$E$34+'Расчёт'!$E$29+I61*('Параметры'!$B$8*'Параметры'!$B$17*'Параметры'!$B$22*'Параметры'!$B$32+'Параметры'!$B$33+'Параметры'!$B$34*'Параметры'!$B$32+'Параметры'!$B$35)+((A61*'Параметры'!$B$8+'Расчёт'!$E$6*('Параметры'!$B$9-'Параметры'!$B$8))*'Параметры'!$B$49+M61*'Параметры'!$B$8*('Параметры'!$B$50-'Параметры'!$B$49))*'Параметры'!$B$52+(J61*'Параметры'!$B$8+'Расчёт'!$E$20*('Параметры'!$B$9-'Параметры'!$B$8))*'Параметры'!$B$53</x:f>
        <x:v>13346432</x:v>
      </x:c>
      <x:c r="Q61" s="3" t="n">
        <x:f>'Расчёт'!$F$33+'Расчёт'!$F$34+'Расчёт'!$F$29+'Расчёт'!$F$30+'Расчёт'!$F$32+K61*('Параметры'!$B$8*'Параметры'!$B$17*'Параметры'!$B$22*'Параметры'!$B$32+'Параметры'!$B$33+'Параметры'!$B$34*'Параметры'!$B$32+'Параметры'!$B$35)+((A61*'Параметры'!$B$8+'Расчёт'!$F$6*('Параметры'!$B$9-'Параметры'!$B$8))*'Параметры'!$B$49-(F61*'Параметры'!$B$8+'Расчёт'!$F$12*('Параметры'!$B$9-'Параметры'!$B$8))*('Параметры'!$B$49-'Параметры'!$B$51)+N61*'Параметры'!$B$8*('Параметры'!$B$50-'Параметры'!$B$49))*'Параметры'!$B$52+(L61*'Параметры'!$B$8+'Расчёт'!$F$20*('Параметры'!$B$9-'Параметры'!$B$8))*'Параметры'!$B$53</x:f>
        <x:v>13861646</x:v>
      </x:c>
      <x:c r="R61" s="3" t="n">
        <x:f>'Расчёт'!$D$28+O61*'Расчёт'!$B$124</x:f>
        <x:v>50618777.61914945</x:v>
      </x:c>
      <x:c r="S61" s="3" t="n">
        <x:f>'Расчёт'!$E$28+P61*'Расчёт'!$B$124</x:f>
        <x:v>46119381.70136355</x:v>
      </x:c>
      <x:c r="T61" s="3" t="n">
        <x:f>'Расчёт'!$F$28+Q61*'Расчёт'!$B$122+(O61+'Расчёт'!$F$32)*'Расчёт'!$B$123</x:f>
        <x:v>53588153.07965299</x:v>
      </x:c>
    </x:row>
    <x:row r="62">
      <x:c r="A62" s="3" t="n">
        <x:v>3750</x:v>
      </x:c>
      <x:c r="B62" s="3" t="n">
        <x:f>R62-T62</x:f>
        <x:v>-2278721.963512473</x:v>
      </x:c>
      <x:c r="C62" s="3" t="n">
        <x:f>S62-T62</x:f>
        <x:v>-7452374.983582169</x:v>
      </x:c>
      <x:c r="D62" s="3" t="str">
        <x:f>IF(AND(B62&gt;=0,B61&lt;0),A61+(A62-A61)*(-B61)/(B62-B61),"")</x:f>
      </x:c>
      <x:c r="E62" s="3" t="str">
        <x:f>IF(AND(C62&gt;=0,C61&lt;0),A61+(A62-A61)*(-C61)/(C62-C61),"")</x:f>
      </x:c>
      <x:c r="F62" s="3" t="n">
        <x:f>MIN(A62*(1-'Параметры'!$B$14)*'Параметры'!$B$15,'Параметры'!$B$23*(1-'Параметры'!$B$24))</x:f>
        <x:v>2100</x:v>
      </x:c>
      <x:c r="G62" s="3" t="n">
        <x:f>F62*'Параметры'!$B$25*'Параметры'!$B$26</x:f>
        <x:v>1160.25</x:v>
      </x:c>
      <x:c r="H62" s="3" t="n">
        <x:f>MAX(0,A62-'Расчёт'!$D$8)</x:f>
        <x:v>450</x:v>
      </x:c>
      <x:c r="I62" s="3" t="n">
        <x:f>IF('Параметры'!$B$21*'Параметры'!$B$22=0,0,ROUNDUP(H62/('Расчёт'!$D$7*'Параметры'!$B$17*'Параметры'!$B$21*'Параметры'!$B$22),0))</x:f>
        <x:v>1</x:v>
      </x:c>
      <x:c r="J62" s="3" t="n">
        <x:f>MAX(0,H62-I62*'Расчёт'!$D$7*'Параметры'!$B$17*'Параметры'!$B$21*'Параметры'!$B$22)</x:f>
        <x:v>0</x:v>
      </x:c>
      <x:c r="K62" s="3" t="n">
        <x:f>IF('Параметры'!$B$21*'Параметры'!$B$22=0,0,ROUNDUP(MAX(0,A62-G62-'Расчёт'!$F$8)/('Расчёт'!$F$7*'Параметры'!$B$17*'Параметры'!$B$21*'Параметры'!$B$22),0))</x:f>
        <x:v>0</x:v>
      </x:c>
      <x:c r="L62" s="3" t="n">
        <x:f>MAX(0,A62-G62-'Расчёт'!$F$8-K62*'Расчёт'!$F$7*'Параметры'!$B$17*'Параметры'!$B$21*'Параметры'!$B$22)</x:f>
        <x:v>0</x:v>
      </x:c>
      <x:c r="M62" s="3" t="n">
        <x:f>MIN(H62,I62*'Расчёт'!$E$7*'Параметры'!$B$17*'Параметры'!$B$21*'Параметры'!$B$22)</x:f>
        <x:v>450</x:v>
      </x:c>
      <x:c r="N62" s="3" t="n">
        <x:f>MIN(MAX(0,A62-G62-'Расчёт'!$F$8),K62*'Расчёт'!$F$7*'Параметры'!$B$17*'Параметры'!$B$21*'Параметры'!$B$22)</x:f>
        <x:v>0</x:v>
      </x:c>
      <x:c r="O62" s="3" t="n">
        <x:f>'Расчёт'!$D$33+'Расчёт'!$D$34+'Расчёт'!$D$29+(A62*'Параметры'!$B$8+'Расчёт'!$D$6*('Параметры'!$B$9-'Параметры'!$B$8))*'Параметры'!$B$49*'Параметры'!$B$52+(H62*'Параметры'!$B$8+'Расчёт'!$D$20*('Параметры'!$B$9-'Параметры'!$B$8))*'Параметры'!$B$53</x:f>
        <x:v>14861232</x:v>
      </x:c>
      <x:c r="P62" s="3" t="n">
        <x:f>'Расчёт'!$E$33+'Расчёт'!$E$34+'Расчёт'!$E$29+I62*('Параметры'!$B$8*'Параметры'!$B$17*'Параметры'!$B$22*'Параметры'!$B$32+'Параметры'!$B$33+'Параметры'!$B$34*'Параметры'!$B$32+'Параметры'!$B$35)+((A62*'Параметры'!$B$8+'Расчёт'!$E$6*('Параметры'!$B$9-'Параметры'!$B$8))*'Параметры'!$B$49+M62*'Параметры'!$B$8*('Параметры'!$B$50-'Параметры'!$B$49))*'Параметры'!$B$52+(J62*'Параметры'!$B$8+'Расчёт'!$E$20*('Параметры'!$B$9-'Параметры'!$B$8))*'Параметры'!$B$53</x:f>
        <x:v>13354232</x:v>
      </x:c>
      <x:c r="Q62" s="3" t="n">
        <x:f>'Расчёт'!$F$33+'Расчёт'!$F$34+'Расчёт'!$F$29+'Расчёт'!$F$30+'Расчёт'!$F$32+K62*('Параметры'!$B$8*'Параметры'!$B$17*'Параметры'!$B$22*'Параметры'!$B$32+'Параметры'!$B$33+'Параметры'!$B$34*'Параметры'!$B$32+'Параметры'!$B$35)+((A62*'Параметры'!$B$8+'Расчёт'!$F$6*('Параметры'!$B$9-'Параметры'!$B$8))*'Параметры'!$B$49-(F62*'Параметры'!$B$8+'Расчёт'!$F$12*('Параметры'!$B$9-'Параметры'!$B$8))*('Параметры'!$B$49-'Параметры'!$B$51)+N62*'Параметры'!$B$8*('Параметры'!$B$50-'Параметры'!$B$49))*'Параметры'!$B$52+(L62*'Параметры'!$B$8+'Расчёт'!$F$20*('Параметры'!$B$9-'Параметры'!$B$8))*'Параметры'!$B$53</x:f>
        <x:v>13864670</x:v>
      </x:c>
      <x:c r="R62" s="3" t="n">
        <x:f>'Расчёт'!$D$28+O62*'Расчёт'!$B$124</x:f>
        <x:v>51319812.75299034</x:v>
      </x:c>
      <x:c r="S62" s="3" t="n">
        <x:f>'Расчёт'!$E$28+P62*'Расчёт'!$B$124</x:f>
        <x:v>46146159.73292065</x:v>
      </x:c>
      <x:c r="T62" s="3" t="n">
        <x:f>'Расчёт'!$F$28+Q62*'Расчёт'!$B$122+(O62+'Расчёт'!$F$32)*'Расчёт'!$B$123</x:f>
        <x:v>53598534.716502815</x:v>
      </x:c>
    </x:row>
    <x:row r="63">
      <x:c r="A63" s="3" t="n">
        <x:v>3800</x:v>
      </x:c>
      <x:c r="B63" s="3" t="n">
        <x:f>R63-T63</x:f>
        <x:v>-1588068.4665214047</x:v>
      </x:c>
      <x:c r="C63" s="3" t="n">
        <x:f>S63-T63</x:f>
        <x:v>-6541317.688390389</x:v>
      </x:c>
      <x:c r="D63" s="3" t="str">
        <x:f>IF(AND(B63&gt;=0,B62&lt;0),A62+(A63-A62)*(-B62)/(B63-B62),"")</x:f>
      </x:c>
      <x:c r="E63" s="3" t="str">
        <x:f>IF(AND(C63&gt;=0,C62&lt;0),A62+(A63-A62)*(-C62)/(C63-C62),"")</x:f>
      </x:c>
      <x:c r="F63" s="3" t="n">
        <x:f>MIN(A63*(1-'Параметры'!$B$14)*'Параметры'!$B$15,'Параметры'!$B$23*(1-'Параметры'!$B$24))</x:f>
        <x:v>2128</x:v>
      </x:c>
      <x:c r="G63" s="3" t="n">
        <x:f>F63*'Параметры'!$B$25*'Параметры'!$B$26</x:f>
        <x:v>1175.72</x:v>
      </x:c>
      <x:c r="H63" s="3" t="n">
        <x:f>MAX(0,A63-'Расчёт'!$D$8)</x:f>
        <x:v>500</x:v>
      </x:c>
      <x:c r="I63" s="3" t="n">
        <x:f>IF('Параметры'!$B$21*'Параметры'!$B$22=0,0,ROUNDUP(H63/('Расчёт'!$D$7*'Параметры'!$B$17*'Параметры'!$B$21*'Параметры'!$B$22),0))</x:f>
        <x:v>2</x:v>
      </x:c>
      <x:c r="J63" s="3" t="n">
        <x:f>MAX(0,H63-I63*'Расчёт'!$D$7*'Параметры'!$B$17*'Параметры'!$B$21*'Параметры'!$B$22)</x:f>
        <x:v>0</x:v>
      </x:c>
      <x:c r="K63" s="3" t="n">
        <x:f>IF('Параметры'!$B$21*'Параметры'!$B$22=0,0,ROUNDUP(MAX(0,A63-G63-'Расчёт'!$F$8)/('Расчёт'!$F$7*'Параметры'!$B$17*'Параметры'!$B$21*'Параметры'!$B$22),0))</x:f>
        <x:v>0</x:v>
      </x:c>
      <x:c r="L63" s="3" t="n">
        <x:f>MAX(0,A63-G63-'Расчёт'!$F$8-K63*'Расчёт'!$F$7*'Параметры'!$B$17*'Параметры'!$B$21*'Параметры'!$B$22)</x:f>
        <x:v>0</x:v>
      </x:c>
      <x:c r="M63" s="3" t="n">
        <x:f>MIN(H63,I63*'Расчёт'!$E$7*'Параметры'!$B$17*'Параметры'!$B$21*'Параметры'!$B$22)</x:f>
        <x:v>500</x:v>
      </x:c>
      <x:c r="N63" s="3" t="n">
        <x:f>MIN(MAX(0,A63-G63-'Расчёт'!$F$8),K63*'Расчёт'!$F$7*'Параметры'!$B$17*'Параметры'!$B$21*'Параметры'!$B$22)</x:f>
        <x:v>0</x:v>
      </x:c>
      <x:c r="O63" s="3" t="n">
        <x:f>'Расчёт'!$D$33+'Расчёт'!$D$34+'Расчёт'!$D$29+(A63*'Параметры'!$B$8+'Расчёт'!$D$6*('Параметры'!$B$9-'Параметры'!$B$8))*'Параметры'!$B$49*'Параметры'!$B$52+(H63*'Параметры'!$B$8+'Расчёт'!$D$20*('Параметры'!$B$9-'Параметры'!$B$8))*'Параметры'!$B$53</x:f>
        <x:v>15065432</x:v>
      </x:c>
      <x:c r="P63" s="3" t="n">
        <x:f>'Расчёт'!$E$33+'Расчёт'!$E$34+'Расчёт'!$E$29+I63*('Параметры'!$B$8*'Параметры'!$B$17*'Параметры'!$B$22*'Параметры'!$B$32+'Параметры'!$B$33+'Параметры'!$B$34*'Параметры'!$B$32+'Параметры'!$B$35)+((A63*'Параметры'!$B$8+'Расчёт'!$E$6*('Параметры'!$B$9-'Параметры'!$B$8))*'Параметры'!$B$49+M63*'Параметры'!$B$8*('Параметры'!$B$50-'Параметры'!$B$49))*'Параметры'!$B$52+(J63*'Параметры'!$B$8+'Расчёт'!$E$20*('Параметры'!$B$9-'Параметры'!$B$8))*'Параметры'!$B$53</x:f>
        <x:v>13622632</x:v>
      </x:c>
      <x:c r="Q63" s="3" t="n">
        <x:f>'Расчёт'!$F$33+'Расчёт'!$F$34+'Расчёт'!$F$29+'Расчёт'!$F$30+'Расчёт'!$F$32+K63*('Параметры'!$B$8*'Параметры'!$B$17*'Параметры'!$B$22*'Параметры'!$B$32+'Параметры'!$B$33+'Параметры'!$B$34*'Параметры'!$B$32+'Параметры'!$B$35)+((A63*'Параметры'!$B$8+'Расчёт'!$F$6*('Параметры'!$B$9-'Параметры'!$B$8))*'Параметры'!$B$49-(F63*'Параметры'!$B$8+'Расчёт'!$F$12*('Параметры'!$B$9-'Параметры'!$B$8))*('Параметры'!$B$49-'Параметры'!$B$51)+N63*'Параметры'!$B$8*('Параметры'!$B$50-'Параметры'!$B$49))*'Параметры'!$B$52+(L63*'Параметры'!$B$8+'Расчёт'!$F$20*('Параметры'!$B$9-'Параметры'!$B$8))*'Параметры'!$B$53</x:f>
        <x:v>13867694</x:v>
      </x:c>
      <x:c r="R63" s="3" t="n">
        <x:f>'Расчёт'!$D$28+O63*'Расчёт'!$B$124</x:f>
        <x:v>52020847.88683124</x:v>
      </x:c>
      <x:c r="S63" s="3" t="n">
        <x:f>'Расчёт'!$E$28+P63*'Расчёт'!$B$124</x:f>
        <x:v>47067598.664962254</x:v>
      </x:c>
      <x:c r="T63" s="3" t="n">
        <x:f>'Расчёт'!$F$28+Q63*'Расчёт'!$B$122+(O63+'Расчёт'!$F$32)*'Расчёт'!$B$123</x:f>
        <x:v>53608916.35335264</x:v>
      </x:c>
    </x:row>
    <x:row r="64">
      <x:c r="A64" s="3" t="n">
        <x:v>3850</x:v>
      </x:c>
      <x:c r="B64" s="3" t="n">
        <x:f>R64-T64</x:f>
        <x:v>-897414.9695303366</x:v>
      </x:c>
      <x:c r="C64" s="3" t="n">
        <x:f>S64-T64</x:f>
        <x:v>-6524921.293683119</x:v>
      </x:c>
      <x:c r="D64" s="3" t="str">
        <x:f>IF(AND(B64&gt;=0,B63&lt;0),A63+(A64-A63)*(-B63)/(B64-B63),"")</x:f>
      </x:c>
      <x:c r="E64" s="3" t="str">
        <x:f>IF(AND(C64&gt;=0,C63&lt;0),A63+(A64-A63)*(-C63)/(C64-C63),"")</x:f>
      </x:c>
      <x:c r="F64" s="3" t="n">
        <x:f>MIN(A64*(1-'Параметры'!$B$14)*'Параметры'!$B$15,'Параметры'!$B$23*(1-'Параметры'!$B$24))</x:f>
        <x:v>2156</x:v>
      </x:c>
      <x:c r="G64" s="3" t="n">
        <x:f>F64*'Параметры'!$B$25*'Параметры'!$B$26</x:f>
        <x:v>1191.19</x:v>
      </x:c>
      <x:c r="H64" s="3" t="n">
        <x:f>MAX(0,A64-'Расчёт'!$D$8)</x:f>
        <x:v>550</x:v>
      </x:c>
      <x:c r="I64" s="3" t="n">
        <x:f>IF('Параметры'!$B$21*'Параметры'!$B$22=0,0,ROUNDUP(H64/('Расчёт'!$D$7*'Параметры'!$B$17*'Параметры'!$B$21*'Параметры'!$B$22),0))</x:f>
        <x:v>2</x:v>
      </x:c>
      <x:c r="J64" s="3" t="n">
        <x:f>MAX(0,H64-I64*'Расчёт'!$D$7*'Параметры'!$B$17*'Параметры'!$B$21*'Параметры'!$B$22)</x:f>
        <x:v>0</x:v>
      </x:c>
      <x:c r="K64" s="3" t="n">
        <x:f>IF('Параметры'!$B$21*'Параметры'!$B$22=0,0,ROUNDUP(MAX(0,A64-G64-'Расчёт'!$F$8)/('Расчёт'!$F$7*'Параметры'!$B$17*'Параметры'!$B$21*'Параметры'!$B$22),0))</x:f>
        <x:v>0</x:v>
      </x:c>
      <x:c r="L64" s="3" t="n">
        <x:f>MAX(0,A64-G64-'Расчёт'!$F$8-K64*'Расчёт'!$F$7*'Параметры'!$B$17*'Параметры'!$B$21*'Параметры'!$B$22)</x:f>
        <x:v>0</x:v>
      </x:c>
      <x:c r="M64" s="3" t="n">
        <x:f>MIN(H64,I64*'Расчёт'!$E$7*'Параметры'!$B$17*'Параметры'!$B$21*'Параметры'!$B$22)</x:f>
        <x:v>550</x:v>
      </x:c>
      <x:c r="N64" s="3" t="n">
        <x:f>MIN(MAX(0,A64-G64-'Расчёт'!$F$8),K64*'Расчёт'!$F$7*'Параметры'!$B$17*'Параметры'!$B$21*'Параметры'!$B$22)</x:f>
        <x:v>0</x:v>
      </x:c>
      <x:c r="O64" s="3" t="n">
        <x:f>'Расчёт'!$D$33+'Расчёт'!$D$34+'Расчёт'!$D$29+(A64*'Параметры'!$B$8+'Расчёт'!$D$6*('Параметры'!$B$9-'Параметры'!$B$8))*'Параметры'!$B$49*'Параметры'!$B$52+(H64*'Параметры'!$B$8+'Расчёт'!$D$20*('Параметры'!$B$9-'Параметры'!$B$8))*'Параметры'!$B$53</x:f>
        <x:v>15269632</x:v>
      </x:c>
      <x:c r="P64" s="3" t="n">
        <x:f>'Расчёт'!$E$33+'Расчёт'!$E$34+'Расчёт'!$E$29+I64*('Параметры'!$B$8*'Параметры'!$B$17*'Параметры'!$B$22*'Параметры'!$B$32+'Параметры'!$B$33+'Параметры'!$B$34*'Параметры'!$B$32+'Параметры'!$B$35)+((A64*'Параметры'!$B$8+'Расчёт'!$E$6*('Параметры'!$B$9-'Параметры'!$B$8))*'Параметры'!$B$49+M64*'Параметры'!$B$8*('Параметры'!$B$50-'Параметры'!$B$49))*'Параметры'!$B$52+(J64*'Параметры'!$B$8+'Расчёт'!$E$20*('Параметры'!$B$9-'Параметры'!$B$8))*'Параметры'!$B$53</x:f>
        <x:v>13630432</x:v>
      </x:c>
      <x:c r="Q64" s="3" t="n">
        <x:f>'Расчёт'!$F$33+'Расчёт'!$F$34+'Расчёт'!$F$29+'Расчёт'!$F$30+'Расчёт'!$F$32+K64*('Параметры'!$B$8*'Параметры'!$B$17*'Параметры'!$B$22*'Параметры'!$B$32+'Параметры'!$B$33+'Параметры'!$B$34*'Параметры'!$B$32+'Параметры'!$B$35)+((A64*'Параметры'!$B$8+'Расчёт'!$F$6*('Параметры'!$B$9-'Параметры'!$B$8))*'Параметры'!$B$49-(F64*'Параметры'!$B$8+'Расчёт'!$F$12*('Параметры'!$B$9-'Параметры'!$B$8))*('Параметры'!$B$49-'Параметры'!$B$51)+N64*'Параметры'!$B$8*('Параметры'!$B$50-'Параметры'!$B$49))*'Параметры'!$B$52+(L64*'Параметры'!$B$8+'Расчёт'!$F$20*('Параметры'!$B$9-'Параметры'!$B$8))*'Параметры'!$B$53</x:f>
        <x:v>13870718</x:v>
      </x:c>
      <x:c r="R64" s="3" t="n">
        <x:f>'Расчёт'!$D$28+O64*'Расчёт'!$B$124</x:f>
        <x:v>52721883.020672135</x:v>
      </x:c>
      <x:c r="S64" s="3" t="n">
        <x:f>'Расчёт'!$E$28+P64*'Расчёт'!$B$124</x:f>
        <x:v>47094376.69651935</x:v>
      </x:c>
      <x:c r="T64" s="3" t="n">
        <x:f>'Расчёт'!$F$28+Q64*'Расчёт'!$B$122+(O64+'Расчёт'!$F$32)*'Расчёт'!$B$123</x:f>
        <x:v>53619297.99020247</x:v>
      </x:c>
    </x:row>
    <x:row r="65">
      <x:c r="A65" s="3" t="n">
        <x:v>3900</x:v>
      </x:c>
      <x:c r="B65" s="3" t="n">
        <x:f>R65-T65</x:f>
        <x:v>-206761.47253926098</x:v>
      </x:c>
      <x:c r="C65" s="3" t="n">
        <x:f>S65-T65</x:f>
        <x:v>-6508524.898975849</x:v>
      </x:c>
      <x:c r="D65" s="3" t="str">
        <x:f>IF(AND(B65&gt;=0,B64&lt;0),A64+(A65-A64)*(-B64)/(B65-B64),"")</x:f>
      </x:c>
      <x:c r="E65" s="3" t="str">
        <x:f>IF(AND(C65&gt;=0,C64&lt;0),A64+(A65-A64)*(-C64)/(C65-C64),"")</x:f>
      </x:c>
      <x:c r="F65" s="3" t="n">
        <x:f>MIN(A65*(1-'Параметры'!$B$14)*'Параметры'!$B$15,'Параметры'!$B$23*(1-'Параметры'!$B$24))</x:f>
        <x:v>2184</x:v>
      </x:c>
      <x:c r="G65" s="3" t="n">
        <x:f>F65*'Параметры'!$B$25*'Параметры'!$B$26</x:f>
        <x:v>1206.66</x:v>
      </x:c>
      <x:c r="H65" s="3" t="n">
        <x:f>MAX(0,A65-'Расчёт'!$D$8)</x:f>
        <x:v>600</x:v>
      </x:c>
      <x:c r="I65" s="3" t="n">
        <x:f>IF('Параметры'!$B$21*'Параметры'!$B$22=0,0,ROUNDUP(H65/('Расчёт'!$D$7*'Параметры'!$B$17*'Параметры'!$B$21*'Параметры'!$B$22),0))</x:f>
        <x:v>2</x:v>
      </x:c>
      <x:c r="J65" s="3" t="n">
        <x:f>MAX(0,H65-I65*'Расчёт'!$D$7*'Параметры'!$B$17*'Параметры'!$B$21*'Параметры'!$B$22)</x:f>
        <x:v>0</x:v>
      </x:c>
      <x:c r="K65" s="3" t="n">
        <x:f>IF('Параметры'!$B$21*'Параметры'!$B$22=0,0,ROUNDUP(MAX(0,A65-G65-'Расчёт'!$F$8)/('Расчёт'!$F$7*'Параметры'!$B$17*'Параметры'!$B$21*'Параметры'!$B$22),0))</x:f>
        <x:v>0</x:v>
      </x:c>
      <x:c r="L65" s="3" t="n">
        <x:f>MAX(0,A65-G65-'Расчёт'!$F$8-K65*'Расчёт'!$F$7*'Параметры'!$B$17*'Параметры'!$B$21*'Параметры'!$B$22)</x:f>
        <x:v>0</x:v>
      </x:c>
      <x:c r="M65" s="3" t="n">
        <x:f>MIN(H65,I65*'Расчёт'!$E$7*'Параметры'!$B$17*'Параметры'!$B$21*'Параметры'!$B$22)</x:f>
        <x:v>600</x:v>
      </x:c>
      <x:c r="N65" s="3" t="n">
        <x:f>MIN(MAX(0,A65-G65-'Расчёт'!$F$8),K65*'Расчёт'!$F$7*'Параметры'!$B$17*'Параметры'!$B$21*'Параметры'!$B$22)</x:f>
        <x:v>0</x:v>
      </x:c>
      <x:c r="O65" s="3" t="n">
        <x:f>'Расчёт'!$D$33+'Расчёт'!$D$34+'Расчёт'!$D$29+(A65*'Параметры'!$B$8+'Расчёт'!$D$6*('Параметры'!$B$9-'Параметры'!$B$8))*'Параметры'!$B$49*'Параметры'!$B$52+(H65*'Параметры'!$B$8+'Расчёт'!$D$20*('Параметры'!$B$9-'Параметры'!$B$8))*'Параметры'!$B$53</x:f>
        <x:v>15473832</x:v>
      </x:c>
      <x:c r="P65" s="3" t="n">
        <x:f>'Расчёт'!$E$33+'Расчёт'!$E$34+'Расчёт'!$E$29+I65*('Параметры'!$B$8*'Параметры'!$B$17*'Параметры'!$B$22*'Параметры'!$B$32+'Параметры'!$B$33+'Параметры'!$B$34*'Параметры'!$B$32+'Параметры'!$B$35)+((A65*'Параметры'!$B$8+'Расчёт'!$E$6*('Параметры'!$B$9-'Параметры'!$B$8))*'Параметры'!$B$49+M65*'Параметры'!$B$8*('Параметры'!$B$50-'Параметры'!$B$49))*'Параметры'!$B$52+(J65*'Параметры'!$B$8+'Расчёт'!$E$20*('Параметры'!$B$9-'Параметры'!$B$8))*'Параметры'!$B$53</x:f>
        <x:v>13638232</x:v>
      </x:c>
      <x:c r="Q65" s="3" t="n">
        <x:f>'Расчёт'!$F$33+'Расчёт'!$F$34+'Расчёт'!$F$29+'Расчёт'!$F$30+'Расчёт'!$F$32+K65*('Параметры'!$B$8*'Параметры'!$B$17*'Параметры'!$B$22*'Параметры'!$B$32+'Параметры'!$B$33+'Параметры'!$B$34*'Параметры'!$B$32+'Параметры'!$B$35)+((A65*'Параметры'!$B$8+'Расчёт'!$F$6*('Параметры'!$B$9-'Параметры'!$B$8))*'Параметры'!$B$49-(F65*'Параметры'!$B$8+'Расчёт'!$F$12*('Параметры'!$B$9-'Параметры'!$B$8))*('Параметры'!$B$49-'Параметры'!$B$51)+N65*'Параметры'!$B$8*('Параметры'!$B$50-'Параметры'!$B$49))*'Параметры'!$B$52+(L65*'Параметры'!$B$8+'Расчёт'!$F$20*('Параметры'!$B$9-'Параметры'!$B$8))*'Параметры'!$B$53</x:f>
        <x:v>13873742</x:v>
      </x:c>
      <x:c r="R65" s="3" t="n">
        <x:f>'Расчёт'!$D$28+O65*'Расчёт'!$B$124</x:f>
        <x:v>53422918.15451304</x:v>
      </x:c>
      <x:c r="S65" s="3" t="n">
        <x:f>'Расчёт'!$E$28+P65*'Расчёт'!$B$124</x:f>
        <x:v>47121154.72807645</x:v>
      </x:c>
      <x:c r="T65" s="3" t="n">
        <x:f>'Расчёт'!$F$28+Q65*'Расчёт'!$B$122+(O65+'Расчёт'!$F$32)*'Расчёт'!$B$123</x:f>
        <x:v>53629679.6270523</x:v>
      </x:c>
    </x:row>
    <x:row r="66">
      <x:c r="A66" s="3" t="n">
        <x:v>3950</x:v>
      </x:c>
      <x:c r="B66" s="3" t="n">
        <x:f>R66-T66</x:f>
        <x:v>483892.02445180714</x:v>
      </x:c>
      <x:c r="C66" s="3" t="n">
        <x:f>S66-T66</x:f>
        <x:v>-6492128.504268587</x:v>
      </x:c>
      <x:c r="D66" s="3" t="n">
        <x:f>IF(AND(B66&gt;=0,B65&lt;0),A65+(A66-A65)*(-B65)/(B66-B65),"")</x:f>
        <x:v>3914.968538741934</x:v>
      </x:c>
      <x:c r="E66" s="3" t="str">
        <x:f>IF(AND(C66&gt;=0,C65&lt;0),A65+(A66-A65)*(-C65)/(C66-C65),"")</x:f>
      </x:c>
      <x:c r="F66" s="3" t="n">
        <x:f>MIN(A66*(1-'Параметры'!$B$14)*'Параметры'!$B$15,'Параметры'!$B$23*(1-'Параметры'!$B$24))</x:f>
        <x:v>2212</x:v>
      </x:c>
      <x:c r="G66" s="3" t="n">
        <x:f>F66*'Параметры'!$B$25*'Параметры'!$B$26</x:f>
        <x:v>1222.1299999999999</x:v>
      </x:c>
      <x:c r="H66" s="3" t="n">
        <x:f>MAX(0,A66-'Расчёт'!$D$8)</x:f>
        <x:v>650</x:v>
      </x:c>
      <x:c r="I66" s="3" t="n">
        <x:f>IF('Параметры'!$B$21*'Параметры'!$B$22=0,0,ROUNDUP(H66/('Расчёт'!$D$7*'Параметры'!$B$17*'Параметры'!$B$21*'Параметры'!$B$22),0))</x:f>
        <x:v>2</x:v>
      </x:c>
      <x:c r="J66" s="3" t="n">
        <x:f>MAX(0,H66-I66*'Расчёт'!$D$7*'Параметры'!$B$17*'Параметры'!$B$21*'Параметры'!$B$22)</x:f>
        <x:v>0</x:v>
      </x:c>
      <x:c r="K66" s="3" t="n">
        <x:f>IF('Параметры'!$B$21*'Параметры'!$B$22=0,0,ROUNDUP(MAX(0,A66-G66-'Расчёт'!$F$8)/('Расчёт'!$F$7*'Параметры'!$B$17*'Параметры'!$B$21*'Параметры'!$B$22),0))</x:f>
        <x:v>0</x:v>
      </x:c>
      <x:c r="L66" s="3" t="n">
        <x:f>MAX(0,A66-G66-'Расчёт'!$F$8-K66*'Расчёт'!$F$7*'Параметры'!$B$17*'Параметры'!$B$21*'Параметры'!$B$22)</x:f>
        <x:v>0</x:v>
      </x:c>
      <x:c r="M66" s="3" t="n">
        <x:f>MIN(H66,I66*'Расчёт'!$E$7*'Параметры'!$B$17*'Параметры'!$B$21*'Параметры'!$B$22)</x:f>
        <x:v>650</x:v>
      </x:c>
      <x:c r="N66" s="3" t="n">
        <x:f>MIN(MAX(0,A66-G66-'Расчёт'!$F$8),K66*'Расчёт'!$F$7*'Параметры'!$B$17*'Параметры'!$B$21*'Параметры'!$B$22)</x:f>
        <x:v>0</x:v>
      </x:c>
      <x:c r="O66" s="3" t="n">
        <x:f>'Расчёт'!$D$33+'Расчёт'!$D$34+'Расчёт'!$D$29+(A66*'Параметры'!$B$8+'Расчёт'!$D$6*('Параметры'!$B$9-'Параметры'!$B$8))*'Параметры'!$B$49*'Параметры'!$B$52+(H66*'Параметры'!$B$8+'Расчёт'!$D$20*('Параметры'!$B$9-'Параметры'!$B$8))*'Параметры'!$B$53</x:f>
        <x:v>15678032</x:v>
      </x:c>
      <x:c r="P66" s="3" t="n">
        <x:f>'Расчёт'!$E$33+'Расчёт'!$E$34+'Расчёт'!$E$29+I66*('Параметры'!$B$8*'Параметры'!$B$17*'Параметры'!$B$22*'Параметры'!$B$32+'Параметры'!$B$33+'Параметры'!$B$34*'Параметры'!$B$32+'Параметры'!$B$35)+((A66*'Параметры'!$B$8+'Расчёт'!$E$6*('Параметры'!$B$9-'Параметры'!$B$8))*'Параметры'!$B$49+M66*'Параметры'!$B$8*('Параметры'!$B$50-'Параметры'!$B$49))*'Параметры'!$B$52+(J66*'Параметры'!$B$8+'Расчёт'!$E$20*('Параметры'!$B$9-'Параметры'!$B$8))*'Параметры'!$B$53</x:f>
        <x:v>13646032</x:v>
      </x:c>
      <x:c r="Q66" s="3" t="n">
        <x:f>'Расчёт'!$F$33+'Расчёт'!$F$34+'Расчёт'!$F$29+'Расчёт'!$F$30+'Расчёт'!$F$32+K66*('Параметры'!$B$8*'Параметры'!$B$17*'Параметры'!$B$22*'Параметры'!$B$32+'Параметры'!$B$33+'Параметры'!$B$34*'Параметры'!$B$32+'Параметры'!$B$35)+((A66*'Параметры'!$B$8+'Расчёт'!$F$6*('Параметры'!$B$9-'Параметры'!$B$8))*'Параметры'!$B$49-(F66*'Параметры'!$B$8+'Расчёт'!$F$12*('Параметры'!$B$9-'Параметры'!$B$8))*('Параметры'!$B$49-'Параметры'!$B$51)+N66*'Параметры'!$B$8*('Параметры'!$B$50-'Параметры'!$B$49))*'Параметры'!$B$52+(L66*'Параметры'!$B$8+'Расчёт'!$F$20*('Параметры'!$B$9-'Параметры'!$B$8))*'Параметры'!$B$53</x:f>
        <x:v>13876766</x:v>
      </x:c>
      <x:c r="R66" s="3" t="n">
        <x:f>'Расчёт'!$D$28+O66*'Расчёт'!$B$124</x:f>
        <x:v>54123953.288353935</x:v>
      </x:c>
      <x:c r="S66" s="3" t="n">
        <x:f>'Расчёт'!$E$28+P66*'Расчёт'!$B$124</x:f>
        <x:v>47147932.75963354</x:v>
      </x:c>
      <x:c r="T66" s="3" t="n">
        <x:f>'Расчёт'!$F$28+Q66*'Расчёт'!$B$122+(O66+'Расчёт'!$F$32)*'Расчёт'!$B$123</x:f>
        <x:v>53640061.26390213</x:v>
      </x:c>
    </x:row>
    <x:row r="67">
      <x:c r="A67" s="3" t="n">
        <x:v>4000</x:v>
      </x:c>
      <x:c r="B67" s="3" t="n">
        <x:f>R67-T67</x:f>
        <x:v>1174545.5214428753</x:v>
      </x:c>
      <x:c r="C67" s="3" t="n">
        <x:f>S67-T67</x:f>
        <x:v>-6475732.109561317</x:v>
      </x:c>
      <x:c r="D67" s="3" t="str">
        <x:f>IF(AND(B67&gt;=0,B66&lt;0),A66+(A67-A66)*(-B66)/(B67-B66),"")</x:f>
      </x:c>
      <x:c r="E67" s="3" t="str">
        <x:f>IF(AND(C67&gt;=0,C66&lt;0),A66+(A67-A66)*(-C66)/(C67-C66),"")</x:f>
      </x:c>
      <x:c r="F67" s="3" t="n">
        <x:f>MIN(A67*(1-'Параметры'!$B$14)*'Параметры'!$B$15,'Параметры'!$B$23*(1-'Параметры'!$B$24))</x:f>
        <x:v>2240</x:v>
      </x:c>
      <x:c r="G67" s="3" t="n">
        <x:f>F67*'Параметры'!$B$25*'Параметры'!$B$26</x:f>
        <x:v>1237.6</x:v>
      </x:c>
      <x:c r="H67" s="3" t="n">
        <x:f>MAX(0,A67-'Расчёт'!$D$8)</x:f>
        <x:v>700</x:v>
      </x:c>
      <x:c r="I67" s="3" t="n">
        <x:f>IF('Параметры'!$B$21*'Параметры'!$B$22=0,0,ROUNDUP(H67/('Расчёт'!$D$7*'Параметры'!$B$17*'Параметры'!$B$21*'Параметры'!$B$22),0))</x:f>
        <x:v>2</x:v>
      </x:c>
      <x:c r="J67" s="3" t="n">
        <x:f>MAX(0,H67-I67*'Расчёт'!$D$7*'Параметры'!$B$17*'Параметры'!$B$21*'Параметры'!$B$22)</x:f>
        <x:v>0</x:v>
      </x:c>
      <x:c r="K67" s="3" t="n">
        <x:f>IF('Параметры'!$B$21*'Параметры'!$B$22=0,0,ROUNDUP(MAX(0,A67-G67-'Расчёт'!$F$8)/('Расчёт'!$F$7*'Параметры'!$B$17*'Параметры'!$B$21*'Параметры'!$B$22),0))</x:f>
        <x:v>0</x:v>
      </x:c>
      <x:c r="L67" s="3" t="n">
        <x:f>MAX(0,A67-G67-'Расчёт'!$F$8-K67*'Расчёт'!$F$7*'Параметры'!$B$17*'Параметры'!$B$21*'Параметры'!$B$22)</x:f>
        <x:v>0</x:v>
      </x:c>
      <x:c r="M67" s="3" t="n">
        <x:f>MIN(H67,I67*'Расчёт'!$E$7*'Параметры'!$B$17*'Параметры'!$B$21*'Параметры'!$B$22)</x:f>
        <x:v>700</x:v>
      </x:c>
      <x:c r="N67" s="3" t="n">
        <x:f>MIN(MAX(0,A67-G67-'Расчёт'!$F$8),K67*'Расчёт'!$F$7*'Параметры'!$B$17*'Параметры'!$B$21*'Параметры'!$B$22)</x:f>
        <x:v>0</x:v>
      </x:c>
      <x:c r="O67" s="3" t="n">
        <x:f>'Расчёт'!$D$33+'Расчёт'!$D$34+'Расчёт'!$D$29+(A67*'Параметры'!$B$8+'Расчёт'!$D$6*('Параметры'!$B$9-'Параметры'!$B$8))*'Параметры'!$B$49*'Параметры'!$B$52+(H67*'Параметры'!$B$8+'Расчёт'!$D$20*('Параметры'!$B$9-'Параметры'!$B$8))*'Параметры'!$B$53</x:f>
        <x:v>15882232</x:v>
      </x:c>
      <x:c r="P67" s="3" t="n">
        <x:f>'Расчёт'!$E$33+'Расчёт'!$E$34+'Расчёт'!$E$29+I67*('Параметры'!$B$8*'Параметры'!$B$17*'Параметры'!$B$22*'Параметры'!$B$32+'Параметры'!$B$33+'Параметры'!$B$34*'Параметры'!$B$32+'Параметры'!$B$35)+((A67*'Параметры'!$B$8+'Расчёт'!$E$6*('Параметры'!$B$9-'Параметры'!$B$8))*'Параметры'!$B$49+M67*'Параметры'!$B$8*('Параметры'!$B$50-'Параметры'!$B$49))*'Параметры'!$B$52+(J67*'Параметры'!$B$8+'Расчёт'!$E$20*('Параметры'!$B$9-'Параметры'!$B$8))*'Параметры'!$B$53</x:f>
        <x:v>13653832</x:v>
      </x:c>
      <x:c r="Q67" s="3" t="n">
        <x:f>'Расчёт'!$F$33+'Расчёт'!$F$34+'Расчёт'!$F$29+'Расчёт'!$F$30+'Расчёт'!$F$32+K67*('Параметры'!$B$8*'Параметры'!$B$17*'Параметры'!$B$22*'Параметры'!$B$32+'Параметры'!$B$33+'Параметры'!$B$34*'Параметры'!$B$32+'Параметры'!$B$35)+((A67*'Параметры'!$B$8+'Расчёт'!$F$6*('Параметры'!$B$9-'Параметры'!$B$8))*'Параметры'!$B$49-(F67*'Параметры'!$B$8+'Расчёт'!$F$12*('Параметры'!$B$9-'Параметры'!$B$8))*('Параметры'!$B$49-'Параметры'!$B$51)+N67*'Параметры'!$B$8*('Параметры'!$B$50-'Параметры'!$B$49))*'Параметры'!$B$52+(L67*'Параметры'!$B$8+'Расчёт'!$F$20*('Параметры'!$B$9-'Параметры'!$B$8))*'Параметры'!$B$53</x:f>
        <x:v>13879790</x:v>
      </x:c>
      <x:c r="R67" s="3" t="n">
        <x:f>'Расчёт'!$D$28+O67*'Расчёт'!$B$124</x:f>
        <x:v>54824988.42219483</x:v>
      </x:c>
      <x:c r="S67" s="3" t="n">
        <x:f>'Расчёт'!$E$28+P67*'Расчёт'!$B$124</x:f>
        <x:v>47174710.79119064</x:v>
      </x:c>
      <x:c r="T67" s="3" t="n">
        <x:f>'Расчёт'!$F$28+Q67*'Расчёт'!$B$122+(O67+'Расчёт'!$F$32)*'Расчёт'!$B$123</x:f>
        <x:v>53650442.900751956</x:v>
      </x:c>
    </x:row>
    <x:row r="68">
      <x:c r="A68" s="3" t="n">
        <x:v>4050</x:v>
      </x:c>
      <x:c r="B68" s="3" t="n">
        <x:f>R68-T68</x:f>
        <x:v>1865199.0184339434</x:v>
      </x:c>
      <x:c r="C68" s="3" t="n">
        <x:f>S68-T68</x:f>
        <x:v>-6459335.714854047</x:v>
      </x:c>
      <x:c r="D68" s="3" t="str">
        <x:f>IF(AND(B68&gt;=0,B67&lt;0),A67+(A68-A67)*(-B67)/(B68-B67),"")</x:f>
      </x:c>
      <x:c r="E68" s="3" t="str">
        <x:f>IF(AND(C68&gt;=0,C67&lt;0),A67+(A68-A67)*(-C67)/(C68-C67),"")</x:f>
      </x:c>
      <x:c r="F68" s="3" t="n">
        <x:f>MIN(A68*(1-'Параметры'!$B$14)*'Параметры'!$B$15,'Параметры'!$B$23*(1-'Параметры'!$B$24))</x:f>
        <x:v>2268</x:v>
      </x:c>
      <x:c r="G68" s="3" t="n">
        <x:f>F68*'Параметры'!$B$25*'Параметры'!$B$26</x:f>
        <x:v>1253.07</x:v>
      </x:c>
      <x:c r="H68" s="3" t="n">
        <x:f>MAX(0,A68-'Расчёт'!$D$8)</x:f>
        <x:v>750</x:v>
      </x:c>
      <x:c r="I68" s="3" t="n">
        <x:f>IF('Параметры'!$B$21*'Параметры'!$B$22=0,0,ROUNDUP(H68/('Расчёт'!$D$7*'Параметры'!$B$17*'Параметры'!$B$21*'Параметры'!$B$22),0))</x:f>
        <x:v>2</x:v>
      </x:c>
      <x:c r="J68" s="3" t="n">
        <x:f>MAX(0,H68-I68*'Расчёт'!$D$7*'Параметры'!$B$17*'Параметры'!$B$21*'Параметры'!$B$22)</x:f>
        <x:v>0</x:v>
      </x:c>
      <x:c r="K68" s="3" t="n">
        <x:f>IF('Параметры'!$B$21*'Параметры'!$B$22=0,0,ROUNDUP(MAX(0,A68-G68-'Расчёт'!$F$8)/('Расчёт'!$F$7*'Параметры'!$B$17*'Параметры'!$B$21*'Параметры'!$B$22),0))</x:f>
        <x:v>0</x:v>
      </x:c>
      <x:c r="L68" s="3" t="n">
        <x:f>MAX(0,A68-G68-'Расчёт'!$F$8-K68*'Расчёт'!$F$7*'Параметры'!$B$17*'Параметры'!$B$21*'Параметры'!$B$22)</x:f>
        <x:v>0</x:v>
      </x:c>
      <x:c r="M68" s="3" t="n">
        <x:f>MIN(H68,I68*'Расчёт'!$E$7*'Параметры'!$B$17*'Параметры'!$B$21*'Параметры'!$B$22)</x:f>
        <x:v>750</x:v>
      </x:c>
      <x:c r="N68" s="3" t="n">
        <x:f>MIN(MAX(0,A68-G68-'Расчёт'!$F$8),K68*'Расчёт'!$F$7*'Параметры'!$B$17*'Параметры'!$B$21*'Параметры'!$B$22)</x:f>
        <x:v>0</x:v>
      </x:c>
      <x:c r="O68" s="3" t="n">
        <x:f>'Расчёт'!$D$33+'Расчёт'!$D$34+'Расчёт'!$D$29+(A68*'Параметры'!$B$8+'Расчёт'!$D$6*('Параметры'!$B$9-'Параметры'!$B$8))*'Параметры'!$B$49*'Параметры'!$B$52+(H68*'Параметры'!$B$8+'Расчёт'!$D$20*('Параметры'!$B$9-'Параметры'!$B$8))*'Параметры'!$B$53</x:f>
        <x:v>16086432</x:v>
      </x:c>
      <x:c r="P68" s="3" t="n">
        <x:f>'Расчёт'!$E$33+'Расчёт'!$E$34+'Расчёт'!$E$29+I68*('Параметры'!$B$8*'Параметры'!$B$17*'Параметры'!$B$22*'Параметры'!$B$32+'Параметры'!$B$33+'Параметры'!$B$34*'Параметры'!$B$32+'Параметры'!$B$35)+((A68*'Параметры'!$B$8+'Расчёт'!$E$6*('Параметры'!$B$9-'Параметры'!$B$8))*'Параметры'!$B$49+M68*'Параметры'!$B$8*('Параметры'!$B$50-'Параметры'!$B$49))*'Параметры'!$B$52+(J68*'Параметры'!$B$8+'Расчёт'!$E$20*('Параметры'!$B$9-'Параметры'!$B$8))*'Параметры'!$B$53</x:f>
        <x:v>13661632</x:v>
      </x:c>
      <x:c r="Q68" s="3" t="n">
        <x:f>'Расчёт'!$F$33+'Расчёт'!$F$34+'Расчёт'!$F$29+'Расчёт'!$F$30+'Расчёт'!$F$32+K68*('Параметры'!$B$8*'Параметры'!$B$17*'Параметры'!$B$22*'Параметры'!$B$32+'Параметры'!$B$33+'Параметры'!$B$34*'Параметры'!$B$32+'Параметры'!$B$35)+((A68*'Параметры'!$B$8+'Расчёт'!$F$6*('Параметры'!$B$9-'Параметры'!$B$8))*'Параметры'!$B$49-(F68*'Параметры'!$B$8+'Расчёт'!$F$12*('Параметры'!$B$9-'Параметры'!$B$8))*('Параметры'!$B$49-'Параметры'!$B$51)+N68*'Параметры'!$B$8*('Параметры'!$B$50-'Параметры'!$B$49))*'Параметры'!$B$52+(L68*'Параметры'!$B$8+'Расчёт'!$F$20*('Параметры'!$B$9-'Параметры'!$B$8))*'Параметры'!$B$53</x:f>
        <x:v>13882814</x:v>
      </x:c>
      <x:c r="R68" s="3" t="n">
        <x:f>'Расчёт'!$D$28+O68*'Расчёт'!$B$124</x:f>
        <x:v>55526023.55603573</x:v>
      </x:c>
      <x:c r="S68" s="3" t="n">
        <x:f>'Расчёт'!$E$28+P68*'Расчёт'!$B$124</x:f>
        <x:v>47201488.82274774</x:v>
      </x:c>
      <x:c r="T68" s="3" t="n">
        <x:f>'Расчёт'!$F$28+Q68*'Расчёт'!$B$122+(O68+'Расчёт'!$F$32)*'Расчёт'!$B$123</x:f>
        <x:v>53660824.537601784</x:v>
      </x:c>
    </x:row>
    <x:row r="69">
      <x:c r="A69" s="3" t="n">
        <x:v>4100</x:v>
      </x:c>
      <x:c r="B69" s="3" t="n">
        <x:f>R69-T69</x:f>
        <x:v>2555852.5154250115</x:v>
      </x:c>
      <x:c r="C69" s="3" t="n">
        <x:f>S69-T69</x:f>
        <x:v>-6442939.320146784</x:v>
      </x:c>
      <x:c r="D69" s="3" t="str">
        <x:f>IF(AND(B69&gt;=0,B68&lt;0),A68+(A69-A68)*(-B68)/(B69-B68),"")</x:f>
      </x:c>
      <x:c r="E69" s="3" t="str">
        <x:f>IF(AND(C69&gt;=0,C68&lt;0),A68+(A69-A68)*(-C68)/(C69-C68),"")</x:f>
      </x:c>
      <x:c r="F69" s="3" t="n">
        <x:f>MIN(A69*(1-'Параметры'!$B$14)*'Параметры'!$B$15,'Параметры'!$B$23*(1-'Параметры'!$B$24))</x:f>
        <x:v>2296</x:v>
      </x:c>
      <x:c r="G69" s="3" t="n">
        <x:f>F69*'Параметры'!$B$25*'Параметры'!$B$26</x:f>
        <x:v>1268.54</x:v>
      </x:c>
      <x:c r="H69" s="3" t="n">
        <x:f>MAX(0,A69-'Расчёт'!$D$8)</x:f>
        <x:v>800</x:v>
      </x:c>
      <x:c r="I69" s="3" t="n">
        <x:f>IF('Параметры'!$B$21*'Параметры'!$B$22=0,0,ROUNDUP(H69/('Расчёт'!$D$7*'Параметры'!$B$17*'Параметры'!$B$21*'Параметры'!$B$22),0))</x:f>
        <x:v>2</x:v>
      </x:c>
      <x:c r="J69" s="3" t="n">
        <x:f>MAX(0,H69-I69*'Расчёт'!$D$7*'Параметры'!$B$17*'Параметры'!$B$21*'Параметры'!$B$22)</x:f>
        <x:v>0</x:v>
      </x:c>
      <x:c r="K69" s="3" t="n">
        <x:f>IF('Параметры'!$B$21*'Параметры'!$B$22=0,0,ROUNDUP(MAX(0,A69-G69-'Расчёт'!$F$8)/('Расчёт'!$F$7*'Параметры'!$B$17*'Параметры'!$B$21*'Параметры'!$B$22),0))</x:f>
        <x:v>0</x:v>
      </x:c>
      <x:c r="L69" s="3" t="n">
        <x:f>MAX(0,A69-G69-'Расчёт'!$F$8-K69*'Расчёт'!$F$7*'Параметры'!$B$17*'Параметры'!$B$21*'Параметры'!$B$22)</x:f>
        <x:v>0</x:v>
      </x:c>
      <x:c r="M69" s="3" t="n">
        <x:f>MIN(H69,I69*'Расчёт'!$E$7*'Параметры'!$B$17*'Параметры'!$B$21*'Параметры'!$B$22)</x:f>
        <x:v>800</x:v>
      </x:c>
      <x:c r="N69" s="3" t="n">
        <x:f>MIN(MAX(0,A69-G69-'Расчёт'!$F$8),K69*'Расчёт'!$F$7*'Параметры'!$B$17*'Параметры'!$B$21*'Параметры'!$B$22)</x:f>
        <x:v>0</x:v>
      </x:c>
      <x:c r="O69" s="3" t="n">
        <x:f>'Расчёт'!$D$33+'Расчёт'!$D$34+'Расчёт'!$D$29+(A69*'Параметры'!$B$8+'Расчёт'!$D$6*('Параметры'!$B$9-'Параметры'!$B$8))*'Параметры'!$B$49*'Параметры'!$B$52+(H69*'Параметры'!$B$8+'Расчёт'!$D$20*('Параметры'!$B$9-'Параметры'!$B$8))*'Параметры'!$B$53</x:f>
        <x:v>16290632</x:v>
      </x:c>
      <x:c r="P69" s="3" t="n">
        <x:f>'Расчёт'!$E$33+'Расчёт'!$E$34+'Расчёт'!$E$29+I69*('Параметры'!$B$8*'Параметры'!$B$17*'Параметры'!$B$22*'Параметры'!$B$32+'Параметры'!$B$33+'Параметры'!$B$34*'Параметры'!$B$32+'Параметры'!$B$35)+((A69*'Параметры'!$B$8+'Расчёт'!$E$6*('Параметры'!$B$9-'Параметры'!$B$8))*'Параметры'!$B$49+M69*'Параметры'!$B$8*('Параметры'!$B$50-'Параметры'!$B$49))*'Параметры'!$B$52+(J69*'Параметры'!$B$8+'Расчёт'!$E$20*('Параметры'!$B$9-'Параметры'!$B$8))*'Параметры'!$B$53</x:f>
        <x:v>13669432</x:v>
      </x:c>
      <x:c r="Q69" s="3" t="n">
        <x:f>'Расчёт'!$F$33+'Расчёт'!$F$34+'Расчёт'!$F$29+'Расчёт'!$F$30+'Расчёт'!$F$32+K69*('Параметры'!$B$8*'Параметры'!$B$17*'Параметры'!$B$22*'Параметры'!$B$32+'Параметры'!$B$33+'Параметры'!$B$34*'Параметры'!$B$32+'Параметры'!$B$35)+((A69*'Параметры'!$B$8+'Расчёт'!$F$6*('Параметры'!$B$9-'Параметры'!$B$8))*'Параметры'!$B$49-(F69*'Параметры'!$B$8+'Расчёт'!$F$12*('Параметры'!$B$9-'Параметры'!$B$8))*('Параметры'!$B$49-'Параметры'!$B$51)+N69*'Параметры'!$B$8*('Параметры'!$B$50-'Параметры'!$B$49))*'Параметры'!$B$52+(L69*'Параметры'!$B$8+'Расчёт'!$F$20*('Параметры'!$B$9-'Параметры'!$B$8))*'Параметры'!$B$53</x:f>
        <x:v>13885838</x:v>
      </x:c>
      <x:c r="R69" s="3" t="n">
        <x:f>'Расчёт'!$D$28+O69*'Расчёт'!$B$124</x:f>
        <x:v>56227058.68987662</x:v>
      </x:c>
      <x:c r="S69" s="3" t="n">
        <x:f>'Расчёт'!$E$28+P69*'Расчёт'!$B$124</x:f>
        <x:v>47228266.85430483</x:v>
      </x:c>
      <x:c r="T69" s="3" t="n">
        <x:f>'Расчёт'!$F$28+Q69*'Расчёт'!$B$122+(O69+'Расчёт'!$F$32)*'Расчёт'!$B$123</x:f>
        <x:v>53671206.17445161</x:v>
      </x:c>
    </x:row>
    <x:row r="70">
      <x:c r="A70" s="3" t="n">
        <x:v>4150</x:v>
      </x:c>
      <x:c r="B70" s="3" t="n">
        <x:f>R70-T70</x:f>
        <x:v>3246506.0124160796</x:v>
      </x:c>
      <x:c r="C70" s="3" t="n">
        <x:f>S70-T70</x:f>
        <x:v>-6426542.925439514</x:v>
      </x:c>
      <x:c r="D70" s="3" t="str">
        <x:f>IF(AND(B70&gt;=0,B69&lt;0),A69+(A70-A69)*(-B69)/(B70-B69),"")</x:f>
      </x:c>
      <x:c r="E70" s="3" t="str">
        <x:f>IF(AND(C70&gt;=0,C69&lt;0),A69+(A70-A69)*(-C69)/(C70-C69),"")</x:f>
      </x:c>
      <x:c r="F70" s="3" t="n">
        <x:f>MIN(A70*(1-'Параметры'!$B$14)*'Параметры'!$B$15,'Параметры'!$B$23*(1-'Параметры'!$B$24))</x:f>
        <x:v>2324</x:v>
      </x:c>
      <x:c r="G70" s="3" t="n">
        <x:f>F70*'Параметры'!$B$25*'Параметры'!$B$26</x:f>
        <x:v>1284.01</x:v>
      </x:c>
      <x:c r="H70" s="3" t="n">
        <x:f>MAX(0,A70-'Расчёт'!$D$8)</x:f>
        <x:v>850</x:v>
      </x:c>
      <x:c r="I70" s="3" t="n">
        <x:f>IF('Параметры'!$B$21*'Параметры'!$B$22=0,0,ROUNDUP(H70/('Расчёт'!$D$7*'Параметры'!$B$17*'Параметры'!$B$21*'Параметры'!$B$22),0))</x:f>
        <x:v>2</x:v>
      </x:c>
      <x:c r="J70" s="3" t="n">
        <x:f>MAX(0,H70-I70*'Расчёт'!$D$7*'Параметры'!$B$17*'Параметры'!$B$21*'Параметры'!$B$22)</x:f>
        <x:v>0</x:v>
      </x:c>
      <x:c r="K70" s="3" t="n">
        <x:f>IF('Параметры'!$B$21*'Параметры'!$B$22=0,0,ROUNDUP(MAX(0,A70-G70-'Расчёт'!$F$8)/('Расчёт'!$F$7*'Параметры'!$B$17*'Параметры'!$B$21*'Параметры'!$B$22),0))</x:f>
        <x:v>0</x:v>
      </x:c>
      <x:c r="L70" s="3" t="n">
        <x:f>MAX(0,A70-G70-'Расчёт'!$F$8-K70*'Расчёт'!$F$7*'Параметры'!$B$17*'Параметры'!$B$21*'Параметры'!$B$22)</x:f>
        <x:v>0</x:v>
      </x:c>
      <x:c r="M70" s="3" t="n">
        <x:f>MIN(H70,I70*'Расчёт'!$E$7*'Параметры'!$B$17*'Параметры'!$B$21*'Параметры'!$B$22)</x:f>
        <x:v>850</x:v>
      </x:c>
      <x:c r="N70" s="3" t="n">
        <x:f>MIN(MAX(0,A70-G70-'Расчёт'!$F$8),K70*'Расчёт'!$F$7*'Параметры'!$B$17*'Параметры'!$B$21*'Параметры'!$B$22)</x:f>
        <x:v>0</x:v>
      </x:c>
      <x:c r="O70" s="3" t="n">
        <x:f>'Расчёт'!$D$33+'Расчёт'!$D$34+'Расчёт'!$D$29+(A70*'Параметры'!$B$8+'Расчёт'!$D$6*('Параметры'!$B$9-'Параметры'!$B$8))*'Параметры'!$B$49*'Параметры'!$B$52+(H70*'Параметры'!$B$8+'Расчёт'!$D$20*('Параметры'!$B$9-'Параметры'!$B$8))*'Параметры'!$B$53</x:f>
        <x:v>16494832</x:v>
      </x:c>
      <x:c r="P70" s="3" t="n">
        <x:f>'Расчёт'!$E$33+'Расчёт'!$E$34+'Расчёт'!$E$29+I70*('Параметры'!$B$8*'Параметры'!$B$17*'Параметры'!$B$22*'Параметры'!$B$32+'Параметры'!$B$33+'Параметры'!$B$34*'Параметры'!$B$32+'Параметры'!$B$35)+((A70*'Параметры'!$B$8+'Расчёт'!$E$6*('Параметры'!$B$9-'Параметры'!$B$8))*'Параметры'!$B$49+M70*'Параметры'!$B$8*('Параметры'!$B$50-'Параметры'!$B$49))*'Параметры'!$B$52+(J70*'Параметры'!$B$8+'Расчёт'!$E$20*('Параметры'!$B$9-'Параметры'!$B$8))*'Параметры'!$B$53</x:f>
        <x:v>13677232</x:v>
      </x:c>
      <x:c r="Q70" s="3" t="n">
        <x:f>'Расчёт'!$F$33+'Расчёт'!$F$34+'Расчёт'!$F$29+'Расчёт'!$F$30+'Расчёт'!$F$32+K70*('Параметры'!$B$8*'Параметры'!$B$17*'Параметры'!$B$22*'Параметры'!$B$32+'Параметры'!$B$33+'Параметры'!$B$34*'Параметры'!$B$32+'Параметры'!$B$35)+((A70*'Параметры'!$B$8+'Расчёт'!$F$6*('Параметры'!$B$9-'Параметры'!$B$8))*'Параметры'!$B$49-(F70*'Параметры'!$B$8+'Расчёт'!$F$12*('Параметры'!$B$9-'Параметры'!$B$8))*('Параметры'!$B$49-'Параметры'!$B$51)+N70*'Параметры'!$B$8*('Параметры'!$B$50-'Параметры'!$B$49))*'Параметры'!$B$52+(L70*'Параметры'!$B$8+'Расчёт'!$F$20*('Параметры'!$B$9-'Параметры'!$B$8))*'Параметры'!$B$53</x:f>
        <x:v>13888862</x:v>
      </x:c>
      <x:c r="R70" s="3" t="n">
        <x:f>'Расчёт'!$D$28+O70*'Расчёт'!$B$124</x:f>
        <x:v>56928093.82371752</x:v>
      </x:c>
      <x:c r="S70" s="3" t="n">
        <x:f>'Расчёт'!$E$28+P70*'Расчёт'!$B$124</x:f>
        <x:v>47255044.885861926</x:v>
      </x:c>
      <x:c r="T70" s="3" t="n">
        <x:f>'Расчёт'!$F$28+Q70*'Расчёт'!$B$122+(O70+'Расчёт'!$F$32)*'Расчёт'!$B$123</x:f>
        <x:v>53681587.81130144</x:v>
      </x:c>
    </x:row>
    <x:row r="71">
      <x:c r="A71" s="3" t="n">
        <x:v>4200</x:v>
      </x:c>
      <x:c r="B71" s="3" t="n">
        <x:f>R71-T71</x:f>
        <x:v>3936871.1306057647</x:v>
      </x:c>
      <x:c r="C71" s="3" t="n">
        <x:f>S71-T71</x:f>
        <x:v>-6410434.909533635</x:v>
      </x:c>
      <x:c r="D71" s="3" t="str">
        <x:f>IF(AND(B71&gt;=0,B70&lt;0),A70+(A71-A70)*(-B70)/(B71-B70),"")</x:f>
      </x:c>
      <x:c r="E71" s="3" t="str">
        <x:f>IF(AND(C71&gt;=0,C70&lt;0),A70+(A71-A70)*(-C70)/(C71-C70),"")</x:f>
      </x:c>
      <x:c r="F71" s="3" t="n">
        <x:f>MIN(A71*(1-'Параметры'!$B$14)*'Параметры'!$B$15,'Параметры'!$B$23*(1-'Параметры'!$B$24))</x:f>
        <x:v>2350</x:v>
      </x:c>
      <x:c r="G71" s="3" t="n">
        <x:f>F71*'Параметры'!$B$25*'Параметры'!$B$26</x:f>
        <x:v>1298.375</x:v>
      </x:c>
      <x:c r="H71" s="3" t="n">
        <x:f>MAX(0,A71-'Расчёт'!$D$8)</x:f>
        <x:v>900</x:v>
      </x:c>
      <x:c r="I71" s="3" t="n">
        <x:f>IF('Параметры'!$B$21*'Параметры'!$B$22=0,0,ROUNDUP(H71/('Расчёт'!$D$7*'Параметры'!$B$17*'Параметры'!$B$21*'Параметры'!$B$22),0))</x:f>
        <x:v>2</x:v>
      </x:c>
      <x:c r="J71" s="3" t="n">
        <x:f>MAX(0,H71-I71*'Расчёт'!$D$7*'Параметры'!$B$17*'Параметры'!$B$21*'Параметры'!$B$22)</x:f>
        <x:v>0</x:v>
      </x:c>
      <x:c r="K71" s="3" t="n">
        <x:f>IF('Параметры'!$B$21*'Параметры'!$B$22=0,0,ROUNDUP(MAX(0,A71-G71-'Расчёт'!$F$8)/('Расчёт'!$F$7*'Параметры'!$B$17*'Параметры'!$B$21*'Параметры'!$B$22),0))</x:f>
        <x:v>0</x:v>
      </x:c>
      <x:c r="L71" s="3" t="n">
        <x:f>MAX(0,A71-G71-'Расчёт'!$F$8-K71*'Расчёт'!$F$7*'Параметры'!$B$17*'Параметры'!$B$21*'Параметры'!$B$22)</x:f>
        <x:v>0</x:v>
      </x:c>
      <x:c r="M71" s="3" t="n">
        <x:f>MIN(H71,I71*'Расчёт'!$E$7*'Параметры'!$B$17*'Параметры'!$B$21*'Параметры'!$B$22)</x:f>
        <x:v>900</x:v>
      </x:c>
      <x:c r="N71" s="3" t="n">
        <x:f>MIN(MAX(0,A71-G71-'Расчёт'!$F$8),K71*'Расчёт'!$F$7*'Параметры'!$B$17*'Параметры'!$B$21*'Параметры'!$B$22)</x:f>
        <x:v>0</x:v>
      </x:c>
      <x:c r="O71" s="3" t="n">
        <x:f>'Расчёт'!$D$33+'Расчёт'!$D$34+'Расчёт'!$D$29+(A71*'Параметры'!$B$8+'Расчёт'!$D$6*('Параметры'!$B$9-'Параметры'!$B$8))*'Параметры'!$B$49*'Параметры'!$B$52+(H71*'Параметры'!$B$8+'Расчёт'!$D$20*('Параметры'!$B$9-'Параметры'!$B$8))*'Параметры'!$B$53</x:f>
        <x:v>16699032</x:v>
      </x:c>
      <x:c r="P71" s="3" t="n">
        <x:f>'Расчёт'!$E$33+'Расчёт'!$E$34+'Расчёт'!$E$29+I71*('Параметры'!$B$8*'Параметры'!$B$17*'Параметры'!$B$22*'Параметры'!$B$32+'Параметры'!$B$33+'Параметры'!$B$34*'Параметры'!$B$32+'Параметры'!$B$35)+((A71*'Параметры'!$B$8+'Расчёт'!$E$6*('Параметры'!$B$9-'Параметры'!$B$8))*'Параметры'!$B$49+M71*'Параметры'!$B$8*('Параметры'!$B$50-'Параметры'!$B$49))*'Параметры'!$B$52+(J71*'Параметры'!$B$8+'Расчёт'!$E$20*('Параметры'!$B$9-'Параметры'!$B$8))*'Параметры'!$B$53</x:f>
        <x:v>13685032</x:v>
      </x:c>
      <x:c r="Q71" s="3" t="n">
        <x:f>'Расчёт'!$F$33+'Расчёт'!$F$34+'Расчёт'!$F$29+'Расчёт'!$F$30+'Расчёт'!$F$32+K71*('Параметры'!$B$8*'Параметры'!$B$17*'Параметры'!$B$22*'Параметры'!$B$32+'Параметры'!$B$33+'Параметры'!$B$34*'Параметры'!$B$32+'Параметры'!$B$35)+((A71*'Параметры'!$B$8+'Расчёт'!$F$6*('Параметры'!$B$9-'Параметры'!$B$8))*'Параметры'!$B$49-(F71*'Параметры'!$B$8+'Расчёт'!$F$12*('Параметры'!$B$9-'Параметры'!$B$8))*('Параметры'!$B$49-'Параметры'!$B$51)+N71*'Параметры'!$B$8*('Параметры'!$B$50-'Параметры'!$B$49))*'Параметры'!$B$52+(L71*'Параметры'!$B$8+'Расчёт'!$F$20*('Параметры'!$B$9-'Параметры'!$B$8))*'Параметры'!$B$53</x:f>
        <x:v>13891970</x:v>
      </x:c>
      <x:c r="R71" s="3" t="n">
        <x:f>'Расчёт'!$D$28+O71*'Расчёт'!$B$124</x:f>
        <x:v>57629128.95755842</x:v>
      </x:c>
      <x:c r="S71" s="3" t="n">
        <x:f>'Расчёт'!$E$28+P71*'Расчёт'!$B$124</x:f>
        <x:v>47281822.917419024</x:v>
      </x:c>
      <x:c r="T71" s="3" t="n">
        <x:f>'Расчёт'!$F$28+Q71*'Расчёт'!$B$122+(O71+'Расчёт'!$F$32)*'Расчёт'!$B$123</x:f>
        <x:v>53692257.82695266</x:v>
      </x:c>
    </x:row>
    <x:row r="72">
      <x:c r="A72" s="3" t="n">
        <x:v>4250</x:v>
      </x:c>
      <x:c r="B72" s="3" t="n">
        <x:f>R72-T72</x:f>
        <x:v>4623487.324377462</x:v>
      </x:c>
      <x:c r="C72" s="3" t="n">
        <x:f>S72-T72</x:f>
        <x:v>-6398075.818045735</x:v>
      </x:c>
      <x:c r="D72" s="3" t="str">
        <x:f>IF(AND(B72&gt;=0,B71&lt;0),A71+(A72-A71)*(-B71)/(B72-B71),"")</x:f>
      </x:c>
      <x:c r="E72" s="3" t="str">
        <x:f>IF(AND(C72&gt;=0,C71&lt;0),A71+(A72-A71)*(-C71)/(C72-C71),"")</x:f>
      </x:c>
      <x:c r="F72" s="3" t="n">
        <x:f>MIN(A72*(1-'Параметры'!$B$14)*'Параметры'!$B$15,'Параметры'!$B$23*(1-'Параметры'!$B$24))</x:f>
        <x:v>2350</x:v>
      </x:c>
      <x:c r="G72" s="3" t="n">
        <x:f>F72*'Параметры'!$B$25*'Параметры'!$B$26</x:f>
        <x:v>1298.375</x:v>
      </x:c>
      <x:c r="H72" s="3" t="n">
        <x:f>MAX(0,A72-'Расчёт'!$D$8)</x:f>
        <x:v>950</x:v>
      </x:c>
      <x:c r="I72" s="3" t="n">
        <x:f>IF('Параметры'!$B$21*'Параметры'!$B$22=0,0,ROUNDUP(H72/('Расчёт'!$D$7*'Параметры'!$B$17*'Параметры'!$B$21*'Параметры'!$B$22),0))</x:f>
        <x:v>2</x:v>
      </x:c>
      <x:c r="J72" s="3" t="n">
        <x:f>MAX(0,H72-I72*'Расчёт'!$D$7*'Параметры'!$B$17*'Параметры'!$B$21*'Параметры'!$B$22)</x:f>
        <x:v>0</x:v>
      </x:c>
      <x:c r="K72" s="3" t="n">
        <x:f>IF('Параметры'!$B$21*'Параметры'!$B$22=0,0,ROUNDUP(MAX(0,A72-G72-'Расчёт'!$F$8)/('Расчёт'!$F$7*'Параметры'!$B$17*'Параметры'!$B$21*'Параметры'!$B$22),0))</x:f>
        <x:v>0</x:v>
      </x:c>
      <x:c r="L72" s="3" t="n">
        <x:f>MAX(0,A72-G72-'Расчёт'!$F$8-K72*'Расчёт'!$F$7*'Параметры'!$B$17*'Параметры'!$B$21*'Параметры'!$B$22)</x:f>
        <x:v>0</x:v>
      </x:c>
      <x:c r="M72" s="3" t="n">
        <x:f>MIN(H72,I72*'Расчёт'!$E$7*'Параметры'!$B$17*'Параметры'!$B$21*'Параметры'!$B$22)</x:f>
        <x:v>950</x:v>
      </x:c>
      <x:c r="N72" s="3" t="n">
        <x:f>MIN(MAX(0,A72-G72-'Расчёт'!$F$8),K72*'Расчёт'!$F$7*'Параметры'!$B$17*'Параметры'!$B$21*'Параметры'!$B$22)</x:f>
        <x:v>0</x:v>
      </x:c>
      <x:c r="O72" s="3" t="n">
        <x:f>'Расчёт'!$D$33+'Расчёт'!$D$34+'Расчёт'!$D$29+(A72*'Параметры'!$B$8+'Расчёт'!$D$6*('Параметры'!$B$9-'Параметры'!$B$8))*'Параметры'!$B$49*'Параметры'!$B$52+(H72*'Параметры'!$B$8+'Расчёт'!$D$20*('Параметры'!$B$9-'Параметры'!$B$8))*'Параметры'!$B$53</x:f>
        <x:v>16903232</x:v>
      </x:c>
      <x:c r="P72" s="3" t="n">
        <x:f>'Расчёт'!$E$33+'Расчёт'!$E$34+'Расчёт'!$E$29+I72*('Параметры'!$B$8*'Параметры'!$B$17*'Параметры'!$B$22*'Параметры'!$B$32+'Параметры'!$B$33+'Параметры'!$B$34*'Параметры'!$B$32+'Параметры'!$B$35)+((A72*'Параметры'!$B$8+'Расчёт'!$E$6*('Параметры'!$B$9-'Параметры'!$B$8))*'Параметры'!$B$49+M72*'Параметры'!$B$8*('Параметры'!$B$50-'Параметры'!$B$49))*'Параметры'!$B$52+(J72*'Параметры'!$B$8+'Расчёт'!$E$20*('Параметры'!$B$9-'Параметры'!$B$8))*'Параметры'!$B$53</x:f>
        <x:v>13692832</x:v>
      </x:c>
      <x:c r="Q72" s="3" t="n">
        <x:f>'Расчёт'!$F$33+'Расчёт'!$F$34+'Расчёт'!$F$29+'Расчёт'!$F$30+'Расчёт'!$F$32+K72*('Параметры'!$B$8*'Параметры'!$B$17*'Параметры'!$B$22*'Параметры'!$B$32+'Параметры'!$B$33+'Параметры'!$B$34*'Параметры'!$B$32+'Параметры'!$B$35)+((A72*'Параметры'!$B$8+'Расчёт'!$F$6*('Параметры'!$B$9-'Параметры'!$B$8))*'Параметры'!$B$49-(F72*'Параметры'!$B$8+'Расчёт'!$F$12*('Параметры'!$B$9-'Параметры'!$B$8))*('Параметры'!$B$49-'Параметры'!$B$51)+N72*'Параметры'!$B$8*('Параметры'!$B$50-'Параметры'!$B$49))*'Параметры'!$B$52+(L72*'Параметры'!$B$8+'Расчёт'!$F$20*('Параметры'!$B$9-'Параметры'!$B$8))*'Параметры'!$B$53</x:f>
        <x:v>13896170</x:v>
      </x:c>
      <x:c r="R72" s="3" t="n">
        <x:f>'Расчёт'!$D$28+O72*'Расчёт'!$B$124</x:f>
        <x:v>58330164.09139932</x:v>
      </x:c>
      <x:c r="S72" s="3" t="n">
        <x:f>'Расчёт'!$E$28+P72*'Расчёт'!$B$124</x:f>
        <x:v>47308600.94897612</x:v>
      </x:c>
      <x:c r="T72" s="3" t="n">
        <x:f>'Расчёт'!$F$28+Q72*'Расчёт'!$B$122+(O72+'Расчёт'!$F$32)*'Расчёт'!$B$123</x:f>
        <x:v>53706676.76702186</x:v>
      </x:c>
    </x:row>
    <x:row r="73">
      <x:c r="A73" s="3" t="n">
        <x:v>4300</x:v>
      </x:c>
      <x:c r="B73" s="3" t="n">
        <x:f>R73-T73</x:f>
        <x:v>5310103.518149152</x:v>
      </x:c>
      <x:c r="C73" s="3" t="n">
        <x:f>S73-T73</x:f>
        <x:v>-5491055.826073334</x:v>
      </x:c>
      <x:c r="D73" s="3" t="str">
        <x:f>IF(AND(B73&gt;=0,B72&lt;0),A72+(A73-A72)*(-B72)/(B73-B72),"")</x:f>
      </x:c>
      <x:c r="E73" s="3" t="str">
        <x:f>IF(AND(C73&gt;=0,C72&lt;0),A72+(A73-A72)*(-C72)/(C73-C72),"")</x:f>
      </x:c>
      <x:c r="F73" s="3" t="n">
        <x:f>MIN(A73*(1-'Параметры'!$B$14)*'Параметры'!$B$15,'Параметры'!$B$23*(1-'Параметры'!$B$24))</x:f>
        <x:v>2350</x:v>
      </x:c>
      <x:c r="G73" s="3" t="n">
        <x:f>F73*'Параметры'!$B$25*'Параметры'!$B$26</x:f>
        <x:v>1298.375</x:v>
      </x:c>
      <x:c r="H73" s="3" t="n">
        <x:f>MAX(0,A73-'Расчёт'!$D$8)</x:f>
        <x:v>1000</x:v>
      </x:c>
      <x:c r="I73" s="3" t="n">
        <x:f>IF('Параметры'!$B$21*'Параметры'!$B$22=0,0,ROUNDUP(H73/('Расчёт'!$D$7*'Параметры'!$B$17*'Параметры'!$B$21*'Параметры'!$B$22),0))</x:f>
        <x:v>3</x:v>
      </x:c>
      <x:c r="J73" s="3" t="n">
        <x:f>MAX(0,H73-I73*'Расчёт'!$D$7*'Параметры'!$B$17*'Параметры'!$B$21*'Параметры'!$B$22)</x:f>
        <x:v>0</x:v>
      </x:c>
      <x:c r="K73" s="3" t="n">
        <x:f>IF('Параметры'!$B$21*'Параметры'!$B$22=0,0,ROUNDUP(MAX(0,A73-G73-'Расчёт'!$F$8)/('Расчёт'!$F$7*'Параметры'!$B$17*'Параметры'!$B$21*'Параметры'!$B$22),0))</x:f>
        <x:v>0</x:v>
      </x:c>
      <x:c r="L73" s="3" t="n">
        <x:f>MAX(0,A73-G73-'Расчёт'!$F$8-K73*'Расчёт'!$F$7*'Параметры'!$B$17*'Параметры'!$B$21*'Параметры'!$B$22)</x:f>
        <x:v>0</x:v>
      </x:c>
      <x:c r="M73" s="3" t="n">
        <x:f>MIN(H73,I73*'Расчёт'!$E$7*'Параметры'!$B$17*'Параметры'!$B$21*'Параметры'!$B$22)</x:f>
        <x:v>1000</x:v>
      </x:c>
      <x:c r="N73" s="3" t="n">
        <x:f>MIN(MAX(0,A73-G73-'Расчёт'!$F$8),K73*'Расчёт'!$F$7*'Параметры'!$B$17*'Параметры'!$B$21*'Параметры'!$B$22)</x:f>
        <x:v>0</x:v>
      </x:c>
      <x:c r="O73" s="3" t="n">
        <x:f>'Расчёт'!$D$33+'Расчёт'!$D$34+'Расчёт'!$D$29+(A73*'Параметры'!$B$8+'Расчёт'!$D$6*('Параметры'!$B$9-'Параметры'!$B$8))*'Параметры'!$B$49*'Параметры'!$B$52+(H73*'Параметры'!$B$8+'Расчёт'!$D$20*('Параметры'!$B$9-'Параметры'!$B$8))*'Параметры'!$B$53</x:f>
        <x:v>17107432</x:v>
      </x:c>
      <x:c r="P73" s="3" t="n">
        <x:f>'Расчёт'!$E$33+'Расчёт'!$E$34+'Расчёт'!$E$29+I73*('Параметры'!$B$8*'Параметры'!$B$17*'Параметры'!$B$22*'Параметры'!$B$32+'Параметры'!$B$33+'Параметры'!$B$34*'Параметры'!$B$32+'Параметры'!$B$35)+((A73*'Параметры'!$B$8+'Расчёт'!$E$6*('Параметры'!$B$9-'Параметры'!$B$8))*'Параметры'!$B$49+M73*'Параметры'!$B$8*('Параметры'!$B$50-'Параметры'!$B$49))*'Параметры'!$B$52+(J73*'Параметры'!$B$8+'Расчёт'!$E$20*('Параметры'!$B$9-'Параметры'!$B$8))*'Параметры'!$B$53</x:f>
        <x:v>13961232</x:v>
      </x:c>
      <x:c r="Q73" s="3" t="n">
        <x:f>'Расчёт'!$F$33+'Расчёт'!$F$34+'Расчёт'!$F$29+'Расчёт'!$F$30+'Расчёт'!$F$32+K73*('Параметры'!$B$8*'Параметры'!$B$17*'Параметры'!$B$22*'Параметры'!$B$32+'Параметры'!$B$33+'Параметры'!$B$34*'Параметры'!$B$32+'Параметры'!$B$35)+((A73*'Параметры'!$B$8+'Расчёт'!$F$6*('Параметры'!$B$9-'Параметры'!$B$8))*'Параметры'!$B$49-(F73*'Параметры'!$B$8+'Расчёт'!$F$12*('Параметры'!$B$9-'Параметры'!$B$8))*('Параметры'!$B$49-'Параметры'!$B$51)+N73*'Параметры'!$B$8*('Параметры'!$B$50-'Параметры'!$B$49))*'Параметры'!$B$52+(L73*'Параметры'!$B$8+'Расчёт'!$F$20*('Параметры'!$B$9-'Параметры'!$B$8))*'Параметры'!$B$53</x:f>
        <x:v>13900370</x:v>
      </x:c>
      <x:c r="R73" s="3" t="n">
        <x:f>'Расчёт'!$D$28+O73*'Расчёт'!$B$124</x:f>
        <x:v>59031199.225240216</x:v>
      </x:c>
      <x:c r="S73" s="3" t="n">
        <x:f>'Расчёт'!$E$28+P73*'Расчёт'!$B$124</x:f>
        <x:v>48230039.88101773</x:v>
      </x:c>
      <x:c r="T73" s="3" t="n">
        <x:f>'Расчёт'!$F$28+Q73*'Расчёт'!$B$122+(O73+'Расчёт'!$F$32)*'Расчёт'!$B$123</x:f>
        <x:v>53721095.70709106</x:v>
      </x:c>
    </x:row>
    <x:row r="74">
      <x:c r="A74" s="3" t="n">
        <x:v>4350</x:v>
      </x:c>
      <x:c r="B74" s="3" t="n">
        <x:f>R74-T74</x:f>
        <x:v>5996719.7119208425</x:v>
      </x:c>
      <x:c r="C74" s="3" t="n">
        <x:f>S74-T74</x:f>
        <x:v>-5478696.734585442</x:v>
      </x:c>
      <x:c r="D74" s="3" t="str">
        <x:f>IF(AND(B74&gt;=0,B73&lt;0),A73+(A74-A73)*(-B73)/(B74-B73),"")</x:f>
      </x:c>
      <x:c r="E74" s="3" t="str">
        <x:f>IF(AND(C74&gt;=0,C73&lt;0),A73+(A74-A73)*(-C73)/(C74-C73),"")</x:f>
      </x:c>
      <x:c r="F74" s="3" t="n">
        <x:f>MIN(A74*(1-'Параметры'!$B$14)*'Параметры'!$B$15,'Параметры'!$B$23*(1-'Параметры'!$B$24))</x:f>
        <x:v>2350</x:v>
      </x:c>
      <x:c r="G74" s="3" t="n">
        <x:f>F74*'Параметры'!$B$25*'Параметры'!$B$26</x:f>
        <x:v>1298.375</x:v>
      </x:c>
      <x:c r="H74" s="3" t="n">
        <x:f>MAX(0,A74-'Расчёт'!$D$8)</x:f>
        <x:v>1050</x:v>
      </x:c>
      <x:c r="I74" s="3" t="n">
        <x:f>IF('Параметры'!$B$21*'Параметры'!$B$22=0,0,ROUNDUP(H74/('Расчёт'!$D$7*'Параметры'!$B$17*'Параметры'!$B$21*'Параметры'!$B$22),0))</x:f>
        <x:v>3</x:v>
      </x:c>
      <x:c r="J74" s="3" t="n">
        <x:f>MAX(0,H74-I74*'Расчёт'!$D$7*'Параметры'!$B$17*'Параметры'!$B$21*'Параметры'!$B$22)</x:f>
        <x:v>0</x:v>
      </x:c>
      <x:c r="K74" s="3" t="n">
        <x:f>IF('Параметры'!$B$21*'Параметры'!$B$22=0,0,ROUNDUP(MAX(0,A74-G74-'Расчёт'!$F$8)/('Расчёт'!$F$7*'Параметры'!$B$17*'Параметры'!$B$21*'Параметры'!$B$22),0))</x:f>
        <x:v>0</x:v>
      </x:c>
      <x:c r="L74" s="3" t="n">
        <x:f>MAX(0,A74-G74-'Расчёт'!$F$8-K74*'Расчёт'!$F$7*'Параметры'!$B$17*'Параметры'!$B$21*'Параметры'!$B$22)</x:f>
        <x:v>0</x:v>
      </x:c>
      <x:c r="M74" s="3" t="n">
        <x:f>MIN(H74,I74*'Расчёт'!$E$7*'Параметры'!$B$17*'Параметры'!$B$21*'Параметры'!$B$22)</x:f>
        <x:v>1050</x:v>
      </x:c>
      <x:c r="N74" s="3" t="n">
        <x:f>MIN(MAX(0,A74-G74-'Расчёт'!$F$8),K74*'Расчёт'!$F$7*'Параметры'!$B$17*'Параметры'!$B$21*'Параметры'!$B$22)</x:f>
        <x:v>0</x:v>
      </x:c>
      <x:c r="O74" s="3" t="n">
        <x:f>'Расчёт'!$D$33+'Расчёт'!$D$34+'Расчёт'!$D$29+(A74*'Параметры'!$B$8+'Расчёт'!$D$6*('Параметры'!$B$9-'Параметры'!$B$8))*'Параметры'!$B$49*'Параметры'!$B$52+(H74*'Параметры'!$B$8+'Расчёт'!$D$20*('Параметры'!$B$9-'Параметры'!$B$8))*'Параметры'!$B$53</x:f>
        <x:v>17311632</x:v>
      </x:c>
      <x:c r="P74" s="3" t="n">
        <x:f>'Расчёт'!$E$33+'Расчёт'!$E$34+'Расчёт'!$E$29+I74*('Параметры'!$B$8*'Параметры'!$B$17*'Параметры'!$B$22*'Параметры'!$B$32+'Параметры'!$B$33+'Параметры'!$B$34*'Параметры'!$B$32+'Параметры'!$B$35)+((A74*'Параметры'!$B$8+'Расчёт'!$E$6*('Параметры'!$B$9-'Параметры'!$B$8))*'Параметры'!$B$49+M74*'Параметры'!$B$8*('Параметры'!$B$50-'Параметры'!$B$49))*'Параметры'!$B$52+(J74*'Параметры'!$B$8+'Расчёт'!$E$20*('Параметры'!$B$9-'Параметры'!$B$8))*'Параметры'!$B$53</x:f>
        <x:v>13969032</x:v>
      </x:c>
      <x:c r="Q74" s="3" t="n">
        <x:f>'Расчёт'!$F$33+'Расчёт'!$F$34+'Расчёт'!$F$29+'Расчёт'!$F$30+'Расчёт'!$F$32+K74*('Параметры'!$B$8*'Параметры'!$B$17*'Параметры'!$B$22*'Параметры'!$B$32+'Параметры'!$B$33+'Параметры'!$B$34*'Параметры'!$B$32+'Параметры'!$B$35)+((A74*'Параметры'!$B$8+'Расчёт'!$F$6*('Параметры'!$B$9-'Параметры'!$B$8))*'Параметры'!$B$49-(F74*'Параметры'!$B$8+'Расчёт'!$F$12*('Параметры'!$B$9-'Параметры'!$B$8))*('Параметры'!$B$49-'Параметры'!$B$51)+N74*'Параметры'!$B$8*('Параметры'!$B$50-'Параметры'!$B$49))*'Параметры'!$B$52+(L74*'Параметры'!$B$8+'Расчёт'!$F$20*('Параметры'!$B$9-'Параметры'!$B$8))*'Параметры'!$B$53</x:f>
        <x:v>13904570</x:v>
      </x:c>
      <x:c r="R74" s="3" t="n">
        <x:f>'Расчёт'!$D$28+O74*'Расчёт'!$B$124</x:f>
        <x:v>59732234.35908111</x:v>
      </x:c>
      <x:c r="S74" s="3" t="n">
        <x:f>'Расчёт'!$E$28+P74*'Расчёт'!$B$124</x:f>
        <x:v>48256817.91257483</x:v>
      </x:c>
      <x:c r="T74" s="3" t="n">
        <x:f>'Расчёт'!$F$28+Q74*'Расчёт'!$B$122+(O74+'Расчёт'!$F$32)*'Расчёт'!$B$123</x:f>
        <x:v>53735514.64716027</x:v>
      </x:c>
    </x:row>
    <x:row r="75">
      <x:c r="A75" s="3" t="n">
        <x:v>4400</x:v>
      </x:c>
      <x:c r="B75" s="3" t="n">
        <x:f>R75-T75</x:f>
        <x:v>6683335.905692533</x:v>
      </x:c>
      <x:c r="C75" s="3" t="n">
        <x:f>S75-T75</x:f>
        <x:v>-5466337.643097557</x:v>
      </x:c>
      <x:c r="D75" s="3" t="str">
        <x:f>IF(AND(B75&gt;=0,B74&lt;0),A74+(A75-A74)*(-B74)/(B75-B74),"")</x:f>
      </x:c>
      <x:c r="E75" s="3" t="str">
        <x:f>IF(AND(C75&gt;=0,C74&lt;0),A74+(A75-A74)*(-C74)/(C75-C74),"")</x:f>
      </x:c>
      <x:c r="F75" s="3" t="n">
        <x:f>MIN(A75*(1-'Параметры'!$B$14)*'Параметры'!$B$15,'Параметры'!$B$23*(1-'Параметры'!$B$24))</x:f>
        <x:v>2350</x:v>
      </x:c>
      <x:c r="G75" s="3" t="n">
        <x:f>F75*'Параметры'!$B$25*'Параметры'!$B$26</x:f>
        <x:v>1298.375</x:v>
      </x:c>
      <x:c r="H75" s="3" t="n">
        <x:f>MAX(0,A75-'Расчёт'!$D$8)</x:f>
        <x:v>1100</x:v>
      </x:c>
      <x:c r="I75" s="3" t="n">
        <x:f>IF('Параметры'!$B$21*'Параметры'!$B$22=0,0,ROUNDUP(H75/('Расчёт'!$D$7*'Параметры'!$B$17*'Параметры'!$B$21*'Параметры'!$B$22),0))</x:f>
        <x:v>3</x:v>
      </x:c>
      <x:c r="J75" s="3" t="n">
        <x:f>MAX(0,H75-I75*'Расчёт'!$D$7*'Параметры'!$B$17*'Параметры'!$B$21*'Параметры'!$B$22)</x:f>
        <x:v>0</x:v>
      </x:c>
      <x:c r="K75" s="3" t="n">
        <x:f>IF('Параметры'!$B$21*'Параметры'!$B$22=0,0,ROUNDUP(MAX(0,A75-G75-'Расчёт'!$F$8)/('Расчёт'!$F$7*'Параметры'!$B$17*'Параметры'!$B$21*'Параметры'!$B$22),0))</x:f>
        <x:v>0</x:v>
      </x:c>
      <x:c r="L75" s="3" t="n">
        <x:f>MAX(0,A75-G75-'Расчёт'!$F$8-K75*'Расчёт'!$F$7*'Параметры'!$B$17*'Параметры'!$B$21*'Параметры'!$B$22)</x:f>
        <x:v>0</x:v>
      </x:c>
      <x:c r="M75" s="3" t="n">
        <x:f>MIN(H75,I75*'Расчёт'!$E$7*'Параметры'!$B$17*'Параметры'!$B$21*'Параметры'!$B$22)</x:f>
        <x:v>1100</x:v>
      </x:c>
      <x:c r="N75" s="3" t="n">
        <x:f>MIN(MAX(0,A75-G75-'Расчёт'!$F$8),K75*'Расчёт'!$F$7*'Параметры'!$B$17*'Параметры'!$B$21*'Параметры'!$B$22)</x:f>
        <x:v>0</x:v>
      </x:c>
      <x:c r="O75" s="3" t="n">
        <x:f>'Расчёт'!$D$33+'Расчёт'!$D$34+'Расчёт'!$D$29+(A75*'Параметры'!$B$8+'Расчёт'!$D$6*('Параметры'!$B$9-'Параметры'!$B$8))*'Параметры'!$B$49*'Параметры'!$B$52+(H75*'Параметры'!$B$8+'Расчёт'!$D$20*('Параметры'!$B$9-'Параметры'!$B$8))*'Параметры'!$B$53</x:f>
        <x:v>17515832</x:v>
      </x:c>
      <x:c r="P75" s="3" t="n">
        <x:f>'Расчёт'!$E$33+'Расчёт'!$E$34+'Расчёт'!$E$29+I75*('Параметры'!$B$8*'Параметры'!$B$17*'Параметры'!$B$22*'Параметры'!$B$32+'Параметры'!$B$33+'Параметры'!$B$34*'Параметры'!$B$32+'Параметры'!$B$35)+((A75*'Параметры'!$B$8+'Расчёт'!$E$6*('Параметры'!$B$9-'Параметры'!$B$8))*'Параметры'!$B$49+M75*'Параметры'!$B$8*('Параметры'!$B$50-'Параметры'!$B$49))*'Параметры'!$B$52+(J75*'Параметры'!$B$8+'Расчёт'!$E$20*('Параметры'!$B$9-'Параметры'!$B$8))*'Параметры'!$B$53</x:f>
        <x:v>13976832</x:v>
      </x:c>
      <x:c r="Q75" s="3" t="n">
        <x:f>'Расчёт'!$F$33+'Расчёт'!$F$34+'Расчёт'!$F$29+'Расчёт'!$F$30+'Расчёт'!$F$32+K75*('Параметры'!$B$8*'Параметры'!$B$17*'Параметры'!$B$22*'Параметры'!$B$32+'Параметры'!$B$33+'Параметры'!$B$34*'Параметры'!$B$32+'Параметры'!$B$35)+((A75*'Параметры'!$B$8+'Расчёт'!$F$6*('Параметры'!$B$9-'Параметры'!$B$8))*'Параметры'!$B$49-(F75*'Параметры'!$B$8+'Расчёт'!$F$12*('Параметры'!$B$9-'Параметры'!$B$8))*('Параметры'!$B$49-'Параметры'!$B$51)+N75*'Параметры'!$B$8*('Параметры'!$B$50-'Параметры'!$B$49))*'Параметры'!$B$52+(L75*'Параметры'!$B$8+'Расчёт'!$F$20*('Параметры'!$B$9-'Параметры'!$B$8))*'Параметры'!$B$53</x:f>
        <x:v>13908770</x:v>
      </x:c>
      <x:c r="R75" s="3" t="n">
        <x:f>'Расчёт'!$D$28+O75*'Расчёт'!$B$124</x:f>
        <x:v>60433269.49292201</x:v>
      </x:c>
      <x:c r="S75" s="3" t="n">
        <x:f>'Расчёт'!$E$28+P75*'Расчёт'!$B$124</x:f>
        <x:v>48283595.94413192</x:v>
      </x:c>
      <x:c r="T75" s="3" t="n">
        <x:f>'Расчёт'!$F$28+Q75*'Расчёт'!$B$122+(O75+'Расчёт'!$F$32)*'Расчёт'!$B$123</x:f>
        <x:v>53749933.587229475</x:v>
      </x:c>
    </x:row>
    <x:row r="76">
      <x:c r="A76" s="3" t="n">
        <x:v>4450</x:v>
      </x:c>
      <x:c r="B76" s="3" t="n">
        <x:f>R76-T76</x:f>
        <x:v>7369952.099464223</x:v>
      </x:c>
      <x:c r="C76" s="3" t="n">
        <x:f>S76-T76</x:f>
        <x:v>-5453978.551609665</x:v>
      </x:c>
      <x:c r="D76" s="3" t="str">
        <x:f>IF(AND(B76&gt;=0,B75&lt;0),A75+(A76-A75)*(-B75)/(B76-B75),"")</x:f>
      </x:c>
      <x:c r="E76" s="3" t="str">
        <x:f>IF(AND(C76&gt;=0,C75&lt;0),A75+(A76-A75)*(-C75)/(C76-C75),"")</x:f>
      </x:c>
      <x:c r="F76" s="3" t="n">
        <x:f>MIN(A76*(1-'Параметры'!$B$14)*'Параметры'!$B$15,'Параметры'!$B$23*(1-'Параметры'!$B$24))</x:f>
        <x:v>2350</x:v>
      </x:c>
      <x:c r="G76" s="3" t="n">
        <x:f>F76*'Параметры'!$B$25*'Параметры'!$B$26</x:f>
        <x:v>1298.375</x:v>
      </x:c>
      <x:c r="H76" s="3" t="n">
        <x:f>MAX(0,A76-'Расчёт'!$D$8)</x:f>
        <x:v>1150</x:v>
      </x:c>
      <x:c r="I76" s="3" t="n">
        <x:f>IF('Параметры'!$B$21*'Параметры'!$B$22=0,0,ROUNDUP(H76/('Расчёт'!$D$7*'Параметры'!$B$17*'Параметры'!$B$21*'Параметры'!$B$22),0))</x:f>
        <x:v>3</x:v>
      </x:c>
      <x:c r="J76" s="3" t="n">
        <x:f>MAX(0,H76-I76*'Расчёт'!$D$7*'Параметры'!$B$17*'Параметры'!$B$21*'Параметры'!$B$22)</x:f>
        <x:v>0</x:v>
      </x:c>
      <x:c r="K76" s="3" t="n">
        <x:f>IF('Параметры'!$B$21*'Параметры'!$B$22=0,0,ROUNDUP(MAX(0,A76-G76-'Расчёт'!$F$8)/('Расчёт'!$F$7*'Параметры'!$B$17*'Параметры'!$B$21*'Параметры'!$B$22),0))</x:f>
        <x:v>0</x:v>
      </x:c>
      <x:c r="L76" s="3" t="n">
        <x:f>MAX(0,A76-G76-'Расчёт'!$F$8-K76*'Расчёт'!$F$7*'Параметры'!$B$17*'Параметры'!$B$21*'Параметры'!$B$22)</x:f>
        <x:v>0</x:v>
      </x:c>
      <x:c r="M76" s="3" t="n">
        <x:f>MIN(H76,I76*'Расчёт'!$E$7*'Параметры'!$B$17*'Параметры'!$B$21*'Параметры'!$B$22)</x:f>
        <x:v>1150</x:v>
      </x:c>
      <x:c r="N76" s="3" t="n">
        <x:f>MIN(MAX(0,A76-G76-'Расчёт'!$F$8),K76*'Расчёт'!$F$7*'Параметры'!$B$17*'Параметры'!$B$21*'Параметры'!$B$22)</x:f>
        <x:v>0</x:v>
      </x:c>
      <x:c r="O76" s="3" t="n">
        <x:f>'Расчёт'!$D$33+'Расчёт'!$D$34+'Расчёт'!$D$29+(A76*'Параметры'!$B$8+'Расчёт'!$D$6*('Параметры'!$B$9-'Параметры'!$B$8))*'Параметры'!$B$49*'Параметры'!$B$52+(H76*'Параметры'!$B$8+'Расчёт'!$D$20*('Параметры'!$B$9-'Параметры'!$B$8))*'Параметры'!$B$53</x:f>
        <x:v>17720032</x:v>
      </x:c>
      <x:c r="P76" s="3" t="n">
        <x:f>'Расчёт'!$E$33+'Расчёт'!$E$34+'Расчёт'!$E$29+I76*('Параметры'!$B$8*'Параметры'!$B$17*'Параметры'!$B$22*'Параметры'!$B$32+'Параметры'!$B$33+'Параметры'!$B$34*'Параметры'!$B$32+'Параметры'!$B$35)+((A76*'Параметры'!$B$8+'Расчёт'!$E$6*('Параметры'!$B$9-'Параметры'!$B$8))*'Параметры'!$B$49+M76*'Параметры'!$B$8*('Параметры'!$B$50-'Параметры'!$B$49))*'Параметры'!$B$52+(J76*'Параметры'!$B$8+'Расчёт'!$E$20*('Параметры'!$B$9-'Параметры'!$B$8))*'Параметры'!$B$53</x:f>
        <x:v>13984632</x:v>
      </x:c>
      <x:c r="Q76" s="3" t="n">
        <x:f>'Расчёт'!$F$33+'Расчёт'!$F$34+'Расчёт'!$F$29+'Расчёт'!$F$30+'Расчёт'!$F$32+K76*('Параметры'!$B$8*'Параметры'!$B$17*'Параметры'!$B$22*'Параметры'!$B$32+'Параметры'!$B$33+'Параметры'!$B$34*'Параметры'!$B$32+'Параметры'!$B$35)+((A76*'Параметры'!$B$8+'Расчёт'!$F$6*('Параметры'!$B$9-'Параметры'!$B$8))*'Параметры'!$B$49-(F76*'Параметры'!$B$8+'Расчёт'!$F$12*('Параметры'!$B$9-'Параметры'!$B$8))*('Параметры'!$B$49-'Параметры'!$B$51)+N76*'Параметры'!$B$8*('Параметры'!$B$50-'Параметры'!$B$49))*'Параметры'!$B$52+(L76*'Параметры'!$B$8+'Расчёт'!$F$20*('Параметры'!$B$9-'Параметры'!$B$8))*'Параметры'!$B$53</x:f>
        <x:v>13912970</x:v>
      </x:c>
      <x:c r="R76" s="3" t="n">
        <x:f>'Расчёт'!$D$28+O76*'Расчёт'!$B$124</x:f>
        <x:v>61134304.626762904</x:v>
      </x:c>
      <x:c r="S76" s="3" t="n">
        <x:f>'Расчёт'!$E$28+P76*'Расчёт'!$B$124</x:f>
        <x:v>48310373.97568902</x:v>
      </x:c>
      <x:c r="T76" s="3" t="n">
        <x:f>'Расчёт'!$F$28+Q76*'Расчёт'!$B$122+(O76+'Расчёт'!$F$32)*'Расчёт'!$B$123</x:f>
        <x:v>53764352.52729868</x:v>
      </x:c>
    </x:row>
    <x:row r="77">
      <x:c r="A77" s="3" t="n">
        <x:v>4500</x:v>
      </x:c>
      <x:c r="B77" s="3" t="n">
        <x:f>R77-T77</x:f>
        <x:v>8056568.29323592</x:v>
      </x:c>
      <x:c r="C77" s="3" t="n">
        <x:f>S77-T77</x:f>
        <x:v>-5441619.460121773</x:v>
      </x:c>
      <x:c r="D77" s="3" t="str">
        <x:f>IF(AND(B77&gt;=0,B76&lt;0),A76+(A77-A76)*(-B76)/(B77-B76),"")</x:f>
      </x:c>
      <x:c r="E77" s="3" t="str">
        <x:f>IF(AND(C77&gt;=0,C76&lt;0),A76+(A77-A76)*(-C76)/(C77-C76),"")</x:f>
      </x:c>
      <x:c r="F77" s="3" t="n">
        <x:f>MIN(A77*(1-'Параметры'!$B$14)*'Параметры'!$B$15,'Параметры'!$B$23*(1-'Параметры'!$B$24))</x:f>
        <x:v>2350</x:v>
      </x:c>
      <x:c r="G77" s="3" t="n">
        <x:f>F77*'Параметры'!$B$25*'Параметры'!$B$26</x:f>
        <x:v>1298.375</x:v>
      </x:c>
      <x:c r="H77" s="3" t="n">
        <x:f>MAX(0,A77-'Расчёт'!$D$8)</x:f>
        <x:v>1200</x:v>
      </x:c>
      <x:c r="I77" s="3" t="n">
        <x:f>IF('Параметры'!$B$21*'Параметры'!$B$22=0,0,ROUNDUP(H77/('Расчёт'!$D$7*'Параметры'!$B$17*'Параметры'!$B$21*'Параметры'!$B$22),0))</x:f>
        <x:v>3</x:v>
      </x:c>
      <x:c r="J77" s="3" t="n">
        <x:f>MAX(0,H77-I77*'Расчёт'!$D$7*'Параметры'!$B$17*'Параметры'!$B$21*'Параметры'!$B$22)</x:f>
        <x:v>0</x:v>
      </x:c>
      <x:c r="K77" s="3" t="n">
        <x:f>IF('Параметры'!$B$21*'Параметры'!$B$22=0,0,ROUNDUP(MAX(0,A77-G77-'Расчёт'!$F$8)/('Расчёт'!$F$7*'Параметры'!$B$17*'Параметры'!$B$21*'Параметры'!$B$22),0))</x:f>
        <x:v>0</x:v>
      </x:c>
      <x:c r="L77" s="3" t="n">
        <x:f>MAX(0,A77-G77-'Расчёт'!$F$8-K77*'Расчёт'!$F$7*'Параметры'!$B$17*'Параметры'!$B$21*'Параметры'!$B$22)</x:f>
        <x:v>0</x:v>
      </x:c>
      <x:c r="M77" s="3" t="n">
        <x:f>MIN(H77,I77*'Расчёт'!$E$7*'Параметры'!$B$17*'Параметры'!$B$21*'Параметры'!$B$22)</x:f>
        <x:v>1200</x:v>
      </x:c>
      <x:c r="N77" s="3" t="n">
        <x:f>MIN(MAX(0,A77-G77-'Расчёт'!$F$8),K77*'Расчёт'!$F$7*'Параметры'!$B$17*'Параметры'!$B$21*'Параметры'!$B$22)</x:f>
        <x:v>0</x:v>
      </x:c>
      <x:c r="O77" s="3" t="n">
        <x:f>'Расчёт'!$D$33+'Расчёт'!$D$34+'Расчёт'!$D$29+(A77*'Параметры'!$B$8+'Расчёт'!$D$6*('Параметры'!$B$9-'Параметры'!$B$8))*'Параметры'!$B$49*'Параметры'!$B$52+(H77*'Параметры'!$B$8+'Расчёт'!$D$20*('Параметры'!$B$9-'Параметры'!$B$8))*'Параметры'!$B$53</x:f>
        <x:v>17924232</x:v>
      </x:c>
      <x:c r="P77" s="3" t="n">
        <x:f>'Расчёт'!$E$33+'Расчёт'!$E$34+'Расчёт'!$E$29+I77*('Параметры'!$B$8*'Параметры'!$B$17*'Параметры'!$B$22*'Параметры'!$B$32+'Параметры'!$B$33+'Параметры'!$B$34*'Параметры'!$B$32+'Параметры'!$B$35)+((A77*'Параметры'!$B$8+'Расчёт'!$E$6*('Параметры'!$B$9-'Параметры'!$B$8))*'Параметры'!$B$49+M77*'Параметры'!$B$8*('Параметры'!$B$50-'Параметры'!$B$49))*'Параметры'!$B$52+(J77*'Параметры'!$B$8+'Расчёт'!$E$20*('Параметры'!$B$9-'Параметры'!$B$8))*'Параметры'!$B$53</x:f>
        <x:v>13992432</x:v>
      </x:c>
      <x:c r="Q77" s="3" t="n">
        <x:f>'Расчёт'!$F$33+'Расчёт'!$F$34+'Расчёт'!$F$29+'Расчёт'!$F$30+'Расчёт'!$F$32+K77*('Параметры'!$B$8*'Параметры'!$B$17*'Параметры'!$B$22*'Параметры'!$B$32+'Параметры'!$B$33+'Параметры'!$B$34*'Параметры'!$B$32+'Параметры'!$B$35)+((A77*'Параметры'!$B$8+'Расчёт'!$F$6*('Параметры'!$B$9-'Параметры'!$B$8))*'Параметры'!$B$49-(F77*'Параметры'!$B$8+'Расчёт'!$F$12*('Параметры'!$B$9-'Параметры'!$B$8))*('Параметры'!$B$49-'Параметры'!$B$51)+N77*'Параметры'!$B$8*('Параметры'!$B$50-'Параметры'!$B$49))*'Параметры'!$B$52+(L77*'Параметры'!$B$8+'Расчёт'!$F$20*('Параметры'!$B$9-'Параметры'!$B$8))*'Параметры'!$B$53</x:f>
        <x:v>13917170</x:v>
      </x:c>
      <x:c r="R77" s="3" t="n">
        <x:f>'Расчёт'!$D$28+O77*'Расчёт'!$B$124</x:f>
        <x:v>61835339.76060381</x:v>
      </x:c>
      <x:c r="S77" s="3" t="n">
        <x:f>'Расчёт'!$E$28+P77*'Расчёт'!$B$124</x:f>
        <x:v>48337152.007246114</x:v>
      </x:c>
      <x:c r="T77" s="3" t="n">
        <x:f>'Расчёт'!$F$28+Q77*'Расчёт'!$B$122+(O77+'Расчёт'!$F$32)*'Расчёт'!$B$123</x:f>
        <x:v>53778771.46736789</x:v>
      </x:c>
    </x:row>
    <x:row r="78">
      <x:c r="A78" s="3" t="n">
        <x:v>4550</x:v>
      </x:c>
      <x:c r="B78" s="3" t="n">
        <x:f>R78-T78</x:f>
        <x:v>8743184.48700761</x:v>
      </x:c>
      <x:c r="C78" s="3" t="n">
        <x:f>S78-T78</x:f>
        <x:v>-5429260.368633881</x:v>
      </x:c>
      <x:c r="D78" s="3" t="str">
        <x:f>IF(AND(B78&gt;=0,B77&lt;0),A77+(A78-A77)*(-B77)/(B78-B77),"")</x:f>
      </x:c>
      <x:c r="E78" s="3" t="str">
        <x:f>IF(AND(C78&gt;=0,C77&lt;0),A77+(A78-A77)*(-C77)/(C78-C77),"")</x:f>
      </x:c>
      <x:c r="F78" s="3" t="n">
        <x:f>MIN(A78*(1-'Параметры'!$B$14)*'Параметры'!$B$15,'Параметры'!$B$23*(1-'Параметры'!$B$24))</x:f>
        <x:v>2350</x:v>
      </x:c>
      <x:c r="G78" s="3" t="n">
        <x:f>F78*'Параметры'!$B$25*'Параметры'!$B$26</x:f>
        <x:v>1298.375</x:v>
      </x:c>
      <x:c r="H78" s="3" t="n">
        <x:f>MAX(0,A78-'Расчёт'!$D$8)</x:f>
        <x:v>1250</x:v>
      </x:c>
      <x:c r="I78" s="3" t="n">
        <x:f>IF('Параметры'!$B$21*'Параметры'!$B$22=0,0,ROUNDUP(H78/('Расчёт'!$D$7*'Параметры'!$B$17*'Параметры'!$B$21*'Параметры'!$B$22),0))</x:f>
        <x:v>3</x:v>
      </x:c>
      <x:c r="J78" s="3" t="n">
        <x:f>MAX(0,H78-I78*'Расчёт'!$D$7*'Параметры'!$B$17*'Параметры'!$B$21*'Параметры'!$B$22)</x:f>
        <x:v>0</x:v>
      </x:c>
      <x:c r="K78" s="3" t="n">
        <x:f>IF('Параметры'!$B$21*'Параметры'!$B$22=0,0,ROUNDUP(MAX(0,A78-G78-'Расчёт'!$F$8)/('Расчёт'!$F$7*'Параметры'!$B$17*'Параметры'!$B$21*'Параметры'!$B$22),0))</x:f>
        <x:v>0</x:v>
      </x:c>
      <x:c r="L78" s="3" t="n">
        <x:f>MAX(0,A78-G78-'Расчёт'!$F$8-K78*'Расчёт'!$F$7*'Параметры'!$B$17*'Параметры'!$B$21*'Параметры'!$B$22)</x:f>
        <x:v>0</x:v>
      </x:c>
      <x:c r="M78" s="3" t="n">
        <x:f>MIN(H78,I78*'Расчёт'!$E$7*'Параметры'!$B$17*'Параметры'!$B$21*'Параметры'!$B$22)</x:f>
        <x:v>1250</x:v>
      </x:c>
      <x:c r="N78" s="3" t="n">
        <x:f>MIN(MAX(0,A78-G78-'Расчёт'!$F$8),K78*'Расчёт'!$F$7*'Параметры'!$B$17*'Параметры'!$B$21*'Параметры'!$B$22)</x:f>
        <x:v>0</x:v>
      </x:c>
      <x:c r="O78" s="3" t="n">
        <x:f>'Расчёт'!$D$33+'Расчёт'!$D$34+'Расчёт'!$D$29+(A78*'Параметры'!$B$8+'Расчёт'!$D$6*('Параметры'!$B$9-'Параметры'!$B$8))*'Параметры'!$B$49*'Параметры'!$B$52+(H78*'Параметры'!$B$8+'Расчёт'!$D$20*('Параметры'!$B$9-'Параметры'!$B$8))*'Параметры'!$B$53</x:f>
        <x:v>18128432</x:v>
      </x:c>
      <x:c r="P78" s="3" t="n">
        <x:f>'Расчёт'!$E$33+'Расчёт'!$E$34+'Расчёт'!$E$29+I78*('Параметры'!$B$8*'Параметры'!$B$17*'Параметры'!$B$22*'Параметры'!$B$32+'Параметры'!$B$33+'Параметры'!$B$34*'Параметры'!$B$32+'Параметры'!$B$35)+((A78*'Параметры'!$B$8+'Расчёт'!$E$6*('Параметры'!$B$9-'Параметры'!$B$8))*'Параметры'!$B$49+M78*'Параметры'!$B$8*('Параметры'!$B$50-'Параметры'!$B$49))*'Параметры'!$B$52+(J78*'Параметры'!$B$8+'Расчёт'!$E$20*('Параметры'!$B$9-'Параметры'!$B$8))*'Параметры'!$B$53</x:f>
        <x:v>14000232</x:v>
      </x:c>
      <x:c r="Q78" s="3" t="n">
        <x:f>'Расчёт'!$F$33+'Расчёт'!$F$34+'Расчёт'!$F$29+'Расчёт'!$F$30+'Расчёт'!$F$32+K78*('Параметры'!$B$8*'Параметры'!$B$17*'Параметры'!$B$22*'Параметры'!$B$32+'Параметры'!$B$33+'Параметры'!$B$34*'Параметры'!$B$32+'Параметры'!$B$35)+((A78*'Параметры'!$B$8+'Расчёт'!$F$6*('Параметры'!$B$9-'Параметры'!$B$8))*'Параметры'!$B$49-(F78*'Параметры'!$B$8+'Расчёт'!$F$12*('Параметры'!$B$9-'Параметры'!$B$8))*('Параметры'!$B$49-'Параметры'!$B$51)+N78*'Параметры'!$B$8*('Параметры'!$B$50-'Параметры'!$B$49))*'Параметры'!$B$52+(L78*'Параметры'!$B$8+'Расчёт'!$F$20*('Параметры'!$B$9-'Параметры'!$B$8))*'Параметры'!$B$53</x:f>
        <x:v>13921370</x:v>
      </x:c>
      <x:c r="R78" s="3" t="n">
        <x:f>'Расчёт'!$D$28+O78*'Расчёт'!$B$124</x:f>
        <x:v>62536374.894444704</x:v>
      </x:c>
      <x:c r="S78" s="3" t="n">
        <x:f>'Расчёт'!$E$28+P78*'Расчёт'!$B$124</x:f>
        <x:v>48363930.03880321</x:v>
      </x:c>
      <x:c r="T78" s="3" t="n">
        <x:f>'Расчёт'!$F$28+Q78*'Расчёт'!$B$122+(O78+'Расчёт'!$F$32)*'Расчёт'!$B$123</x:f>
        <x:v>53793190.40743709</x:v>
      </x:c>
    </x:row>
    <x:row r="79">
      <x:c r="A79" s="3" t="n">
        <x:v>4600</x:v>
      </x:c>
      <x:c r="B79" s="3" t="n">
        <x:f>R79-T79</x:f>
        <x:v>8534738.109821431</x:v>
      </x:c>
      <x:c r="C79" s="3" t="n">
        <x:f>S79-T79</x:f>
        <x:v>-6311963.848103866</x:v>
      </x:c>
      <x:c r="D79" s="3" t="str">
        <x:f>IF(AND(B79&gt;=0,B78&lt;0),A78+(A79-A78)*(-B78)/(B79-B78),"")</x:f>
      </x:c>
      <x:c r="E79" s="3" t="str">
        <x:f>IF(AND(C79&gt;=0,C78&lt;0),A78+(A79-A78)*(-C78)/(C79-C78),"")</x:f>
      </x:c>
      <x:c r="F79" s="3" t="n">
        <x:f>MIN(A79*(1-'Параметры'!$B$14)*'Параметры'!$B$15,'Параметры'!$B$23*(1-'Параметры'!$B$24))</x:f>
        <x:v>2350</x:v>
      </x:c>
      <x:c r="G79" s="3" t="n">
        <x:f>F79*'Параметры'!$B$25*'Параметры'!$B$26</x:f>
        <x:v>1298.375</x:v>
      </x:c>
      <x:c r="H79" s="3" t="n">
        <x:f>MAX(0,A79-'Расчёт'!$D$8)</x:f>
        <x:v>1300</x:v>
      </x:c>
      <x:c r="I79" s="3" t="n">
        <x:f>IF('Параметры'!$B$21*'Параметры'!$B$22=0,0,ROUNDUP(H79/('Расчёт'!$D$7*'Параметры'!$B$17*'Параметры'!$B$21*'Параметры'!$B$22),0))</x:f>
        <x:v>3</x:v>
      </x:c>
      <x:c r="J79" s="3" t="n">
        <x:f>MAX(0,H79-I79*'Расчёт'!$D$7*'Параметры'!$B$17*'Параметры'!$B$21*'Параметры'!$B$22)</x:f>
        <x:v>0</x:v>
      </x:c>
      <x:c r="K79" s="3" t="n">
        <x:f>IF('Параметры'!$B$21*'Параметры'!$B$22=0,0,ROUNDUP(MAX(0,A79-G79-'Расчёт'!$F$8)/('Расчёт'!$F$7*'Параметры'!$B$17*'Параметры'!$B$21*'Параметры'!$B$22),0))</x:f>
        <x:v>1</x:v>
      </x:c>
      <x:c r="L79" s="3" t="n">
        <x:f>MAX(0,A79-G79-'Расчёт'!$F$8-K79*'Расчёт'!$F$7*'Параметры'!$B$17*'Параметры'!$B$21*'Параметры'!$B$22)</x:f>
        <x:v>0</x:v>
      </x:c>
      <x:c r="M79" s="3" t="n">
        <x:f>MIN(H79,I79*'Расчёт'!$E$7*'Параметры'!$B$17*'Параметры'!$B$21*'Параметры'!$B$22)</x:f>
        <x:v>1300</x:v>
      </x:c>
      <x:c r="N79" s="3" t="n">
        <x:f>MIN(MAX(0,A79-G79-'Расчёт'!$F$8),K79*'Расчёт'!$F$7*'Параметры'!$B$17*'Параметры'!$B$21*'Параметры'!$B$22)</x:f>
        <x:v>1.625</x:v>
      </x:c>
      <x:c r="O79" s="3" t="n">
        <x:f>'Расчёт'!$D$33+'Расчёт'!$D$34+'Расчёт'!$D$29+(A79*'Параметры'!$B$8+'Расчёт'!$D$6*('Параметры'!$B$9-'Параметры'!$B$8))*'Параметры'!$B$49*'Параметры'!$B$52+(H79*'Параметры'!$B$8+'Расчёт'!$D$20*('Параметры'!$B$9-'Параметры'!$B$8))*'Параметры'!$B$53</x:f>
        <x:v>18332632</x:v>
      </x:c>
      <x:c r="P79" s="3" t="n">
        <x:f>'Расчёт'!$E$33+'Расчёт'!$E$34+'Расчёт'!$E$29+I79*('Параметры'!$B$8*'Параметры'!$B$17*'Параметры'!$B$22*'Параметры'!$B$32+'Параметры'!$B$33+'Параметры'!$B$34*'Параметры'!$B$32+'Параметры'!$B$35)+((A79*'Параметры'!$B$8+'Расчёт'!$E$6*('Параметры'!$B$9-'Параметры'!$B$8))*'Параметры'!$B$49+M79*'Параметры'!$B$8*('Параметры'!$B$50-'Параметры'!$B$49))*'Параметры'!$B$52+(J79*'Параметры'!$B$8+'Расчёт'!$E$20*('Параметры'!$B$9-'Параметры'!$B$8))*'Параметры'!$B$53</x:f>
        <x:v>14008032</x:v>
      </x:c>
      <x:c r="Q79" s="3" t="n">
        <x:f>'Расчёт'!$F$33+'Расчёт'!$F$34+'Расчёт'!$F$29+'Расчёт'!$F$30+'Расчёт'!$F$32+K79*('Параметры'!$B$8*'Параметры'!$B$17*'Параметры'!$B$22*'Параметры'!$B$32+'Параметры'!$B$33+'Параметры'!$B$34*'Параметры'!$B$32+'Параметры'!$B$35)+((A79*'Параметры'!$B$8+'Расчёт'!$F$6*('Параметры'!$B$9-'Параметры'!$B$8))*'Параметры'!$B$49-(F79*'Параметры'!$B$8+'Расчёт'!$F$12*('Параметры'!$B$9-'Параметры'!$B$8))*('Параметры'!$B$49-'Параметры'!$B$51)+N79*'Параметры'!$B$8*('Параметры'!$B$50-'Параметры'!$B$49))*'Параметры'!$B$52+(L79*'Параметры'!$B$8+'Расчёт'!$F$20*('Параметры'!$B$9-'Параметры'!$B$8))*'Параметры'!$B$53</x:f>
        <x:v>14186287</x:v>
      </x:c>
      <x:c r="R79" s="3" t="n">
        <x:f>'Расчёт'!$D$28+O79*'Расчёт'!$B$124</x:f>
        <x:v>63237410.0282856</x:v>
      </x:c>
      <x:c r="S79" s="3" t="n">
        <x:f>'Расчёт'!$E$28+P79*'Расчёт'!$B$124</x:f>
        <x:v>48390708.0703603</x:v>
      </x:c>
      <x:c r="T79" s="3" t="n">
        <x:f>'Расчёт'!$F$28+Q79*'Расчёт'!$B$122+(O79+'Расчёт'!$F$32)*'Расчёт'!$B$123</x:f>
        <x:v>54702671.91846417</x:v>
      </x:c>
    </x:row>
    <x:row r="80">
      <x:c r="A80" s="3" t="n">
        <x:v>4650</x:v>
      </x:c>
      <x:c r="B80" s="3" t="n">
        <x:f>R80-T80</x:f>
        <x:v>9208995.21210523</x:v>
      </x:c>
      <x:c r="C80" s="3" t="n">
        <x:f>S80-T80</x:f>
        <x:v>-6311963.848103866</x:v>
      </x:c>
      <x:c r="D80" s="3" t="str">
        <x:f>IF(AND(B80&gt;=0,B79&lt;0),A79+(A80-A79)*(-B79)/(B80-B79),"")</x:f>
      </x:c>
      <x:c r="E80" s="3" t="str">
        <x:f>IF(AND(C80&gt;=0,C79&lt;0),A79+(A80-A79)*(-C79)/(C80-C79),"")</x:f>
      </x:c>
      <x:c r="F80" s="3" t="n">
        <x:f>MIN(A80*(1-'Параметры'!$B$14)*'Параметры'!$B$15,'Параметры'!$B$23*(1-'Параметры'!$B$24))</x:f>
        <x:v>2350</x:v>
      </x:c>
      <x:c r="G80" s="3" t="n">
        <x:f>F80*'Параметры'!$B$25*'Параметры'!$B$26</x:f>
        <x:v>1298.375</x:v>
      </x:c>
      <x:c r="H80" s="3" t="n">
        <x:f>MAX(0,A80-'Расчёт'!$D$8)</x:f>
        <x:v>1350</x:v>
      </x:c>
      <x:c r="I80" s="3" t="n">
        <x:f>IF('Параметры'!$B$21*'Параметры'!$B$22=0,0,ROUNDUP(H80/('Расчёт'!$D$7*'Параметры'!$B$17*'Параметры'!$B$21*'Параметры'!$B$22),0))</x:f>
        <x:v>3</x:v>
      </x:c>
      <x:c r="J80" s="3" t="n">
        <x:f>MAX(0,H80-I80*'Расчёт'!$D$7*'Параметры'!$B$17*'Параметры'!$B$21*'Параметры'!$B$22)</x:f>
        <x:v>0</x:v>
      </x:c>
      <x:c r="K80" s="3" t="n">
        <x:f>IF('Параметры'!$B$21*'Параметры'!$B$22=0,0,ROUNDUP(MAX(0,A80-G80-'Расчёт'!$F$8)/('Расчёт'!$F$7*'Параметры'!$B$17*'Параметры'!$B$21*'Параметры'!$B$22),0))</x:f>
        <x:v>1</x:v>
      </x:c>
      <x:c r="L80" s="3" t="n">
        <x:f>MAX(0,A80-G80-'Расчёт'!$F$8-K80*'Расчёт'!$F$7*'Параметры'!$B$17*'Параметры'!$B$21*'Параметры'!$B$22)</x:f>
        <x:v>0</x:v>
      </x:c>
      <x:c r="M80" s="3" t="n">
        <x:f>MIN(H80,I80*'Расчёт'!$E$7*'Параметры'!$B$17*'Параметры'!$B$21*'Параметры'!$B$22)</x:f>
        <x:v>1350</x:v>
      </x:c>
      <x:c r="N80" s="3" t="n">
        <x:f>MIN(MAX(0,A80-G80-'Расчёт'!$F$8),K80*'Расчёт'!$F$7*'Параметры'!$B$17*'Параметры'!$B$21*'Параметры'!$B$22)</x:f>
        <x:v>51.625</x:v>
      </x:c>
      <x:c r="O80" s="3" t="n">
        <x:f>'Расчёт'!$D$33+'Расчёт'!$D$34+'Расчёт'!$D$29+(A80*'Параметры'!$B$8+'Расчёт'!$D$6*('Параметры'!$B$9-'Параметры'!$B$8))*'Параметры'!$B$49*'Параметры'!$B$52+(H80*'Параметры'!$B$8+'Расчёт'!$D$20*('Параметры'!$B$9-'Параметры'!$B$8))*'Параметры'!$B$53</x:f>
        <x:v>18536832</x:v>
      </x:c>
      <x:c r="P80" s="3" t="n">
        <x:f>'Расчёт'!$E$33+'Расчёт'!$E$34+'Расчёт'!$E$29+I80*('Параметры'!$B$8*'Параметры'!$B$17*'Параметры'!$B$22*'Параметры'!$B$32+'Параметры'!$B$33+'Параметры'!$B$34*'Параметры'!$B$32+'Параметры'!$B$35)+((A80*'Параметры'!$B$8+'Расчёт'!$E$6*('Параметры'!$B$9-'Параметры'!$B$8))*'Параметры'!$B$49+M80*'Параметры'!$B$8*('Параметры'!$B$50-'Параметры'!$B$49))*'Параметры'!$B$52+(J80*'Параметры'!$B$8+'Расчёт'!$E$20*('Параметры'!$B$9-'Параметры'!$B$8))*'Параметры'!$B$53</x:f>
        <x:v>14015832</x:v>
      </x:c>
      <x:c r="Q80" s="3" t="n">
        <x:f>'Расчёт'!$F$33+'Расчёт'!$F$34+'Расчёт'!$F$29+'Расчёт'!$F$30+'Расчёт'!$F$32+K80*('Параметры'!$B$8*'Параметры'!$B$17*'Параметры'!$B$22*'Параметры'!$B$32+'Параметры'!$B$33+'Параметры'!$B$34*'Параметры'!$B$32+'Параметры'!$B$35)+((A80*'Параметры'!$B$8+'Расчёт'!$F$6*('Параметры'!$B$9-'Параметры'!$B$8))*'Параметры'!$B$49-(F80*'Параметры'!$B$8+'Расчёт'!$F$12*('Параметры'!$B$9-'Параметры'!$B$8))*('Параметры'!$B$49-'Параметры'!$B$51)+N80*'Параметры'!$B$8*('Параметры'!$B$50-'Параметры'!$B$49))*'Параметры'!$B$52+(L80*'Параметры'!$B$8+'Расчёт'!$F$20*('Параметры'!$B$9-'Параметры'!$B$8))*'Параметры'!$B$53</x:f>
        <x:v>14194087</x:v>
      </x:c>
      <x:c r="R80" s="3" t="n">
        <x:f>'Расчёт'!$D$28+O80*'Расчёт'!$B$124</x:f>
        <x:v>63938445.1621265</x:v>
      </x:c>
      <x:c r="S80" s="3" t="n">
        <x:f>'Расчёт'!$E$28+P80*'Расчёт'!$B$124</x:f>
        <x:v>48417486.1019174</x:v>
      </x:c>
      <x:c r="T80" s="3" t="n">
        <x:f>'Расчёт'!$F$28+Q80*'Расчёт'!$B$122+(O80+'Расчёт'!$F$32)*'Расчёт'!$B$123</x:f>
        <x:v>54729449.95002127</x:v>
      </x:c>
    </x:row>
    <x:row r="81">
      <x:c r="A81" s="3" t="n">
        <x:v>4700</x:v>
      </x:c>
      <x:c r="B81" s="3" t="n">
        <x:f>R81-T81</x:f>
        <x:v>9883252.314389028</x:v>
      </x:c>
      <x:c r="C81" s="3" t="n">
        <x:f>S81-T81</x:f>
        <x:v>-6311963.848103866</x:v>
      </x:c>
      <x:c r="D81" s="3" t="str">
        <x:f>IF(AND(B81&gt;=0,B80&lt;0),A80+(A81-A80)*(-B80)/(B81-B80),"")</x:f>
      </x:c>
      <x:c r="E81" s="3" t="str">
        <x:f>IF(AND(C81&gt;=0,C80&lt;0),A80+(A81-A80)*(-C80)/(C81-C80),"")</x:f>
      </x:c>
      <x:c r="F81" s="3" t="n">
        <x:f>MIN(A81*(1-'Параметры'!$B$14)*'Параметры'!$B$15,'Параметры'!$B$23*(1-'Параметры'!$B$24))</x:f>
        <x:v>2350</x:v>
      </x:c>
      <x:c r="G81" s="3" t="n">
        <x:f>F81*'Параметры'!$B$25*'Параметры'!$B$26</x:f>
        <x:v>1298.375</x:v>
      </x:c>
      <x:c r="H81" s="3" t="n">
        <x:f>MAX(0,A81-'Расчёт'!$D$8)</x:f>
        <x:v>1400</x:v>
      </x:c>
      <x:c r="I81" s="3" t="n">
        <x:f>IF('Параметры'!$B$21*'Параметры'!$B$22=0,0,ROUNDUP(H81/('Расчёт'!$D$7*'Параметры'!$B$17*'Параметры'!$B$21*'Параметры'!$B$22),0))</x:f>
        <x:v>3</x:v>
      </x:c>
      <x:c r="J81" s="3" t="n">
        <x:f>MAX(0,H81-I81*'Расчёт'!$D$7*'Параметры'!$B$17*'Параметры'!$B$21*'Параметры'!$B$22)</x:f>
        <x:v>0</x:v>
      </x:c>
      <x:c r="K81" s="3" t="n">
        <x:f>IF('Параметры'!$B$21*'Параметры'!$B$22=0,0,ROUNDUP(MAX(0,A81-G81-'Расчёт'!$F$8)/('Расчёт'!$F$7*'Параметры'!$B$17*'Параметры'!$B$21*'Параметры'!$B$22),0))</x:f>
        <x:v>1</x:v>
      </x:c>
      <x:c r="L81" s="3" t="n">
        <x:f>MAX(0,A81-G81-'Расчёт'!$F$8-K81*'Расчёт'!$F$7*'Параметры'!$B$17*'Параметры'!$B$21*'Параметры'!$B$22)</x:f>
        <x:v>0</x:v>
      </x:c>
      <x:c r="M81" s="3" t="n">
        <x:f>MIN(H81,I81*'Расчёт'!$E$7*'Параметры'!$B$17*'Параметры'!$B$21*'Параметры'!$B$22)</x:f>
        <x:v>1400</x:v>
      </x:c>
      <x:c r="N81" s="3" t="n">
        <x:f>MIN(MAX(0,A81-G81-'Расчёт'!$F$8),K81*'Расчёт'!$F$7*'Параметры'!$B$17*'Параметры'!$B$21*'Параметры'!$B$22)</x:f>
        <x:v>101.625</x:v>
      </x:c>
      <x:c r="O81" s="3" t="n">
        <x:f>'Расчёт'!$D$33+'Расчёт'!$D$34+'Расчёт'!$D$29+(A81*'Параметры'!$B$8+'Расчёт'!$D$6*('Параметры'!$B$9-'Параметры'!$B$8))*'Параметры'!$B$49*'Параметры'!$B$52+(H81*'Параметры'!$B$8+'Расчёт'!$D$20*('Параметры'!$B$9-'Параметры'!$B$8))*'Параметры'!$B$53</x:f>
        <x:v>18741032</x:v>
      </x:c>
      <x:c r="P81" s="3" t="n">
        <x:f>'Расчёт'!$E$33+'Расчёт'!$E$34+'Расчёт'!$E$29+I81*('Параметры'!$B$8*'Параметры'!$B$17*'Параметры'!$B$22*'Параметры'!$B$32+'Параметры'!$B$33+'Параметры'!$B$34*'Параметры'!$B$32+'Параметры'!$B$35)+((A81*'Параметры'!$B$8+'Расчёт'!$E$6*('Параметры'!$B$9-'Параметры'!$B$8))*'Параметры'!$B$49+M81*'Параметры'!$B$8*('Параметры'!$B$50-'Параметры'!$B$49))*'Параметры'!$B$52+(J81*'Параметры'!$B$8+'Расчёт'!$E$20*('Параметры'!$B$9-'Параметры'!$B$8))*'Параметры'!$B$53</x:f>
        <x:v>14023632</x:v>
      </x:c>
      <x:c r="Q81" s="3" t="n">
        <x:f>'Расчёт'!$F$33+'Расчёт'!$F$34+'Расчёт'!$F$29+'Расчёт'!$F$30+'Расчёт'!$F$32+K81*('Параметры'!$B$8*'Параметры'!$B$17*'Параметры'!$B$22*'Параметры'!$B$32+'Параметры'!$B$33+'Параметры'!$B$34*'Параметры'!$B$32+'Параметры'!$B$35)+((A81*'Параметры'!$B$8+'Расчёт'!$F$6*('Параметры'!$B$9-'Параметры'!$B$8))*'Параметры'!$B$49-(F81*'Параметры'!$B$8+'Расчёт'!$F$12*('Параметры'!$B$9-'Параметры'!$B$8))*('Параметры'!$B$49-'Параметры'!$B$51)+N81*'Параметры'!$B$8*('Параметры'!$B$50-'Параметры'!$B$49))*'Параметры'!$B$52+(L81*'Параметры'!$B$8+'Расчёт'!$F$20*('Параметры'!$B$9-'Параметры'!$B$8))*'Параметры'!$B$53</x:f>
        <x:v>14201887</x:v>
      </x:c>
      <x:c r="R81" s="3" t="n">
        <x:f>'Расчёт'!$D$28+O81*'Расчёт'!$B$124</x:f>
        <x:v>64639480.29596739</x:v>
      </x:c>
      <x:c r="S81" s="3" t="n">
        <x:f>'Расчёт'!$E$28+P81*'Расчёт'!$B$124</x:f>
        <x:v>48444264.1334745</x:v>
      </x:c>
      <x:c r="T81" s="3" t="n">
        <x:f>'Расчёт'!$F$28+Q81*'Расчёт'!$B$122+(O81+'Расчёт'!$F$32)*'Расчёт'!$B$123</x:f>
        <x:v>54756227.981578365</x:v>
      </x:c>
    </x:row>
    <x:row r="82">
      <x:c r="A82" s="3" t="n">
        <x:v>4750</x:v>
      </x:c>
      <x:c r="B82" s="3" t="n">
        <x:f>R82-T82</x:f>
        <x:v>10557509.416672833</x:v>
      </x:c>
      <x:c r="C82" s="3" t="n">
        <x:f>S82-T82</x:f>
        <x:v>-5417302.947619349</x:v>
      </x:c>
      <x:c r="D82" s="3" t="str">
        <x:f>IF(AND(B82&gt;=0,B81&lt;0),A81+(A82-A81)*(-B81)/(B82-B81),"")</x:f>
      </x:c>
      <x:c r="E82" s="3" t="str">
        <x:f>IF(AND(C82&gt;=0,C81&lt;0),A81+(A82-A81)*(-C81)/(C82-C81),"")</x:f>
      </x:c>
      <x:c r="F82" s="3" t="n">
        <x:f>MIN(A82*(1-'Параметры'!$B$14)*'Параметры'!$B$15,'Параметры'!$B$23*(1-'Параметры'!$B$24))</x:f>
        <x:v>2350</x:v>
      </x:c>
      <x:c r="G82" s="3" t="n">
        <x:f>F82*'Параметры'!$B$25*'Параметры'!$B$26</x:f>
        <x:v>1298.375</x:v>
      </x:c>
      <x:c r="H82" s="3" t="n">
        <x:f>MAX(0,A82-'Расчёт'!$D$8)</x:f>
        <x:v>1450</x:v>
      </x:c>
      <x:c r="I82" s="3" t="n">
        <x:f>IF('Параметры'!$B$21*'Параметры'!$B$22=0,0,ROUNDUP(H82/('Расчёт'!$D$7*'Параметры'!$B$17*'Параметры'!$B$21*'Параметры'!$B$22),0))</x:f>
        <x:v>4</x:v>
      </x:c>
      <x:c r="J82" s="3" t="n">
        <x:f>MAX(0,H82-I82*'Расчёт'!$D$7*'Параметры'!$B$17*'Параметры'!$B$21*'Параметры'!$B$22)</x:f>
        <x:v>0</x:v>
      </x:c>
      <x:c r="K82" s="3" t="n">
        <x:f>IF('Параметры'!$B$21*'Параметры'!$B$22=0,0,ROUNDUP(MAX(0,A82-G82-'Расчёт'!$F$8)/('Расчёт'!$F$7*'Параметры'!$B$17*'Параметры'!$B$21*'Параметры'!$B$22),0))</x:f>
        <x:v>1</x:v>
      </x:c>
      <x:c r="L82" s="3" t="n">
        <x:f>MAX(0,A82-G82-'Расчёт'!$F$8-K82*'Расчёт'!$F$7*'Параметры'!$B$17*'Параметры'!$B$21*'Параметры'!$B$22)</x:f>
        <x:v>0</x:v>
      </x:c>
      <x:c r="M82" s="3" t="n">
        <x:f>MIN(H82,I82*'Расчёт'!$E$7*'Параметры'!$B$17*'Параметры'!$B$21*'Параметры'!$B$22)</x:f>
        <x:v>1450</x:v>
      </x:c>
      <x:c r="N82" s="3" t="n">
        <x:f>MIN(MAX(0,A82-G82-'Расчёт'!$F$8),K82*'Расчёт'!$F$7*'Параметры'!$B$17*'Параметры'!$B$21*'Параметры'!$B$22)</x:f>
        <x:v>151.625</x:v>
      </x:c>
      <x:c r="O82" s="3" t="n">
        <x:f>'Расчёт'!$D$33+'Расчёт'!$D$34+'Расчёт'!$D$29+(A82*'Параметры'!$B$8+'Расчёт'!$D$6*('Параметры'!$B$9-'Параметры'!$B$8))*'Параметры'!$B$49*'Параметры'!$B$52+(H82*'Параметры'!$B$8+'Расчёт'!$D$20*('Параметры'!$B$9-'Параметры'!$B$8))*'Параметры'!$B$53</x:f>
        <x:v>18945232</x:v>
      </x:c>
      <x:c r="P82" s="3" t="n">
        <x:f>'Расчёт'!$E$33+'Расчёт'!$E$34+'Расчёт'!$E$29+I82*('Параметры'!$B$8*'Параметры'!$B$17*'Параметры'!$B$22*'Параметры'!$B$32+'Параметры'!$B$33+'Параметры'!$B$34*'Параметры'!$B$32+'Параметры'!$B$35)+((A82*'Параметры'!$B$8+'Расчёт'!$E$6*('Параметры'!$B$9-'Параметры'!$B$8))*'Параметры'!$B$49+M82*'Параметры'!$B$8*('Параметры'!$B$50-'Параметры'!$B$49))*'Параметры'!$B$52+(J82*'Параметры'!$B$8+'Расчёт'!$E$20*('Параметры'!$B$9-'Параметры'!$B$8))*'Параметры'!$B$53</x:f>
        <x:v>14292032</x:v>
      </x:c>
      <x:c r="Q82" s="3" t="n">
        <x:f>'Расчёт'!$F$33+'Расчёт'!$F$34+'Расчёт'!$F$29+'Расчёт'!$F$30+'Расчёт'!$F$32+K82*('Параметры'!$B$8*'Параметры'!$B$17*'Параметры'!$B$22*'Параметры'!$B$32+'Параметры'!$B$33+'Параметры'!$B$34*'Параметры'!$B$32+'Параметры'!$B$35)+((A82*'Параметры'!$B$8+'Расчёт'!$F$6*('Параметры'!$B$9-'Параметры'!$B$8))*'Параметры'!$B$49-(F82*'Параметры'!$B$8+'Расчёт'!$F$12*('Параметры'!$B$9-'Параметры'!$B$8))*('Параметры'!$B$49-'Параметры'!$B$51)+N82*'Параметры'!$B$8*('Параметры'!$B$50-'Параметры'!$B$49))*'Параметры'!$B$52+(L82*'Параметры'!$B$8+'Расчёт'!$F$20*('Параметры'!$B$9-'Параметры'!$B$8))*'Параметры'!$B$53</x:f>
        <x:v>14209687</x:v>
      </x:c>
      <x:c r="R82" s="3" t="n">
        <x:f>'Расчёт'!$D$28+O82*'Расчёт'!$B$124</x:f>
        <x:v>65340515.42980829</x:v>
      </x:c>
      <x:c r="S82" s="3" t="n">
        <x:f>'Расчёт'!$E$28+P82*'Расчёт'!$B$124</x:f>
        <x:v>49365703.06551611</x:v>
      </x:c>
      <x:c r="T82" s="3" t="n">
        <x:f>'Расчёт'!$F$28+Q82*'Расчёт'!$B$122+(O82+'Расчёт'!$F$32)*'Расчёт'!$B$123</x:f>
        <x:v>54783006.013135456</x:v>
      </x:c>
    </x:row>
    <x:row r="83">
      <x:c r="A83" s="3" t="n">
        <x:v>4800</x:v>
      </x:c>
      <x:c r="B83" s="3" t="n">
        <x:f>R83-T83</x:f>
        <x:v>11231766.518956639</x:v>
      </x:c>
      <x:c r="C83" s="3" t="n">
        <x:f>S83-T83</x:f>
        <x:v>-5417302.947619349</x:v>
      </x:c>
      <x:c r="D83" s="3" t="str">
        <x:f>IF(AND(B83&gt;=0,B82&lt;0),A82+(A83-A82)*(-B82)/(B83-B82),"")</x:f>
      </x:c>
      <x:c r="E83" s="3" t="str">
        <x:f>IF(AND(C83&gt;=0,C82&lt;0),A82+(A83-A82)*(-C82)/(C83-C82),"")</x:f>
      </x:c>
      <x:c r="F83" s="3" t="n">
        <x:f>MIN(A83*(1-'Параметры'!$B$14)*'Параметры'!$B$15,'Параметры'!$B$23*(1-'Параметры'!$B$24))</x:f>
        <x:v>2350</x:v>
      </x:c>
      <x:c r="G83" s="3" t="n">
        <x:f>F83*'Параметры'!$B$25*'Параметры'!$B$26</x:f>
        <x:v>1298.375</x:v>
      </x:c>
      <x:c r="H83" s="3" t="n">
        <x:f>MAX(0,A83-'Расчёт'!$D$8)</x:f>
        <x:v>1500</x:v>
      </x:c>
      <x:c r="I83" s="3" t="n">
        <x:f>IF('Параметры'!$B$21*'Параметры'!$B$22=0,0,ROUNDUP(H83/('Расчёт'!$D$7*'Параметры'!$B$17*'Параметры'!$B$21*'Параметры'!$B$22),0))</x:f>
        <x:v>4</x:v>
      </x:c>
      <x:c r="J83" s="3" t="n">
        <x:f>MAX(0,H83-I83*'Расчёт'!$D$7*'Параметры'!$B$17*'Параметры'!$B$21*'Параметры'!$B$22)</x:f>
        <x:v>0</x:v>
      </x:c>
      <x:c r="K83" s="3" t="n">
        <x:f>IF('Параметры'!$B$21*'Параметры'!$B$22=0,0,ROUNDUP(MAX(0,A83-G83-'Расчёт'!$F$8)/('Расчёт'!$F$7*'Параметры'!$B$17*'Параметры'!$B$21*'Параметры'!$B$22),0))</x:f>
        <x:v>1</x:v>
      </x:c>
      <x:c r="L83" s="3" t="n">
        <x:f>MAX(0,A83-G83-'Расчёт'!$F$8-K83*'Расчёт'!$F$7*'Параметры'!$B$17*'Параметры'!$B$21*'Параметры'!$B$22)</x:f>
        <x:v>0</x:v>
      </x:c>
      <x:c r="M83" s="3" t="n">
        <x:f>MIN(H83,I83*'Расчёт'!$E$7*'Параметры'!$B$17*'Параметры'!$B$21*'Параметры'!$B$22)</x:f>
        <x:v>1500</x:v>
      </x:c>
      <x:c r="N83" s="3" t="n">
        <x:f>MIN(MAX(0,A83-G83-'Расчёт'!$F$8),K83*'Расчёт'!$F$7*'Параметры'!$B$17*'Параметры'!$B$21*'Параметры'!$B$22)</x:f>
        <x:v>201.625</x:v>
      </x:c>
      <x:c r="O83" s="3" t="n">
        <x:f>'Расчёт'!$D$33+'Расчёт'!$D$34+'Расчёт'!$D$29+(A83*'Параметры'!$B$8+'Расчёт'!$D$6*('Параметры'!$B$9-'Параметры'!$B$8))*'Параметры'!$B$49*'Параметры'!$B$52+(H83*'Параметры'!$B$8+'Расчёт'!$D$20*('Параметры'!$B$9-'Параметры'!$B$8))*'Параметры'!$B$53</x:f>
        <x:v>19149432</x:v>
      </x:c>
      <x:c r="P83" s="3" t="n">
        <x:f>'Расчёт'!$E$33+'Расчёт'!$E$34+'Расчёт'!$E$29+I83*('Параметры'!$B$8*'Параметры'!$B$17*'Параметры'!$B$22*'Параметры'!$B$32+'Параметры'!$B$33+'Параметры'!$B$34*'Параметры'!$B$32+'Параметры'!$B$35)+((A83*'Параметры'!$B$8+'Расчёт'!$E$6*('Параметры'!$B$9-'Параметры'!$B$8))*'Параметры'!$B$49+M83*'Параметры'!$B$8*('Параметры'!$B$50-'Параметры'!$B$49))*'Параметры'!$B$52+(J83*'Параметры'!$B$8+'Расчёт'!$E$20*('Параметры'!$B$9-'Параметры'!$B$8))*'Параметры'!$B$53</x:f>
        <x:v>14299832</x:v>
      </x:c>
      <x:c r="Q83" s="3" t="n">
        <x:f>'Расчёт'!$F$33+'Расчёт'!$F$34+'Расчёт'!$F$29+'Расчёт'!$F$30+'Расчёт'!$F$32+K83*('Параметры'!$B$8*'Параметры'!$B$17*'Параметры'!$B$22*'Параметры'!$B$32+'Параметры'!$B$33+'Параметры'!$B$34*'Параметры'!$B$32+'Параметры'!$B$35)+((A83*'Параметры'!$B$8+'Расчёт'!$F$6*('Параметры'!$B$9-'Параметры'!$B$8))*'Параметры'!$B$49-(F83*'Параметры'!$B$8+'Расчёт'!$F$12*('Параметры'!$B$9-'Параметры'!$B$8))*('Параметры'!$B$49-'Параметры'!$B$51)+N83*'Параметры'!$B$8*('Параметры'!$B$50-'Параметры'!$B$49))*'Параметры'!$B$52+(L83*'Параметры'!$B$8+'Расчёт'!$F$20*('Параметры'!$B$9-'Параметры'!$B$8))*'Параметры'!$B$53</x:f>
        <x:v>14217487</x:v>
      </x:c>
      <x:c r="R83" s="3" t="n">
        <x:f>'Расчёт'!$D$28+O83*'Расчёт'!$B$124</x:f>
        <x:v>66041550.56364919</x:v>
      </x:c>
      <x:c r="S83" s="3" t="n">
        <x:f>'Расчёт'!$E$28+P83*'Расчёт'!$B$124</x:f>
        <x:v>49392481.097073205</x:v>
      </x:c>
      <x:c r="T83" s="3" t="n">
        <x:f>'Расчёт'!$F$28+Q83*'Расчёт'!$B$122+(O83+'Расчёт'!$F$32)*'Расчёт'!$B$123</x:f>
        <x:v>54809784.04469255</x:v>
      </x:c>
    </x:row>
    <x:row r="84">
      <x:c r="A84" s="3" t="n">
        <x:v>4850</x:v>
      </x:c>
      <x:c r="B84" s="3" t="n">
        <x:f>R84-T84</x:f>
        <x:v>11906023.621240437</x:v>
      </x:c>
      <x:c r="C84" s="3" t="n">
        <x:f>S84-T84</x:f>
        <x:v>-5417302.947619349</x:v>
      </x:c>
      <x:c r="D84" s="3" t="str">
        <x:f>IF(AND(B84&gt;=0,B83&lt;0),A83+(A84-A83)*(-B83)/(B84-B83),"")</x:f>
      </x:c>
      <x:c r="E84" s="3" t="str">
        <x:f>IF(AND(C84&gt;=0,C83&lt;0),A83+(A84-A83)*(-C83)/(C84-C83),"")</x:f>
      </x:c>
      <x:c r="F84" s="3" t="n">
        <x:f>MIN(A84*(1-'Параметры'!$B$14)*'Параметры'!$B$15,'Параметры'!$B$23*(1-'Параметры'!$B$24))</x:f>
        <x:v>2350</x:v>
      </x:c>
      <x:c r="G84" s="3" t="n">
        <x:f>F84*'Параметры'!$B$25*'Параметры'!$B$26</x:f>
        <x:v>1298.375</x:v>
      </x:c>
      <x:c r="H84" s="3" t="n">
        <x:f>MAX(0,A84-'Расчёт'!$D$8)</x:f>
        <x:v>1550</x:v>
      </x:c>
      <x:c r="I84" s="3" t="n">
        <x:f>IF('Параметры'!$B$21*'Параметры'!$B$22=0,0,ROUNDUP(H84/('Расчёт'!$D$7*'Параметры'!$B$17*'Параметры'!$B$21*'Параметры'!$B$22),0))</x:f>
        <x:v>4</x:v>
      </x:c>
      <x:c r="J84" s="3" t="n">
        <x:f>MAX(0,H84-I84*'Расчёт'!$D$7*'Параметры'!$B$17*'Параметры'!$B$21*'Параметры'!$B$22)</x:f>
        <x:v>0</x:v>
      </x:c>
      <x:c r="K84" s="3" t="n">
        <x:f>IF('Параметры'!$B$21*'Параметры'!$B$22=0,0,ROUNDUP(MAX(0,A84-G84-'Расчёт'!$F$8)/('Расчёт'!$F$7*'Параметры'!$B$17*'Параметры'!$B$21*'Параметры'!$B$22),0))</x:f>
        <x:v>1</x:v>
      </x:c>
      <x:c r="L84" s="3" t="n">
        <x:f>MAX(0,A84-G84-'Расчёт'!$F$8-K84*'Расчёт'!$F$7*'Параметры'!$B$17*'Параметры'!$B$21*'Параметры'!$B$22)</x:f>
        <x:v>0</x:v>
      </x:c>
      <x:c r="M84" s="3" t="n">
        <x:f>MIN(H84,I84*'Расчёт'!$E$7*'Параметры'!$B$17*'Параметры'!$B$21*'Параметры'!$B$22)</x:f>
        <x:v>1550</x:v>
      </x:c>
      <x:c r="N84" s="3" t="n">
        <x:f>MIN(MAX(0,A84-G84-'Расчёт'!$F$8),K84*'Расчёт'!$F$7*'Параметры'!$B$17*'Параметры'!$B$21*'Параметры'!$B$22)</x:f>
        <x:v>251.625</x:v>
      </x:c>
      <x:c r="O84" s="3" t="n">
        <x:f>'Расчёт'!$D$33+'Расчёт'!$D$34+'Расчёт'!$D$29+(A84*'Параметры'!$B$8+'Расчёт'!$D$6*('Параметры'!$B$9-'Параметры'!$B$8))*'Параметры'!$B$49*'Параметры'!$B$52+(H84*'Параметры'!$B$8+'Расчёт'!$D$20*('Параметры'!$B$9-'Параметры'!$B$8))*'Параметры'!$B$53</x:f>
        <x:v>19353632</x:v>
      </x:c>
      <x:c r="P84" s="3" t="n">
        <x:f>'Расчёт'!$E$33+'Расчёт'!$E$34+'Расчёт'!$E$29+I84*('Параметры'!$B$8*'Параметры'!$B$17*'Параметры'!$B$22*'Параметры'!$B$32+'Параметры'!$B$33+'Параметры'!$B$34*'Параметры'!$B$32+'Параметры'!$B$35)+((A84*'Параметры'!$B$8+'Расчёт'!$E$6*('Параметры'!$B$9-'Параметры'!$B$8))*'Параметры'!$B$49+M84*'Параметры'!$B$8*('Параметры'!$B$50-'Параметры'!$B$49))*'Параметры'!$B$52+(J84*'Параметры'!$B$8+'Расчёт'!$E$20*('Параметры'!$B$9-'Параметры'!$B$8))*'Параметры'!$B$53</x:f>
        <x:v>14307632</x:v>
      </x:c>
      <x:c r="Q84" s="3" t="n">
        <x:f>'Расчёт'!$F$33+'Расчёт'!$F$34+'Расчёт'!$F$29+'Расчёт'!$F$30+'Расчёт'!$F$32+K84*('Параметры'!$B$8*'Параметры'!$B$17*'Параметры'!$B$22*'Параметры'!$B$32+'Параметры'!$B$33+'Параметры'!$B$34*'Параметры'!$B$32+'Параметры'!$B$35)+((A84*'Параметры'!$B$8+'Расчёт'!$F$6*('Параметры'!$B$9-'Параметры'!$B$8))*'Параметры'!$B$49-(F84*'Параметры'!$B$8+'Расчёт'!$F$12*('Параметры'!$B$9-'Параметры'!$B$8))*('Параметры'!$B$49-'Параметры'!$B$51)+N84*'Параметры'!$B$8*('Параметры'!$B$50-'Параметры'!$B$49))*'Параметры'!$B$52+(L84*'Параметры'!$B$8+'Расчёт'!$F$20*('Параметры'!$B$9-'Параметры'!$B$8))*'Параметры'!$B$53</x:f>
        <x:v>14225287</x:v>
      </x:c>
      <x:c r="R84" s="3" t="n">
        <x:f>'Расчёт'!$D$28+O84*'Расчёт'!$B$124</x:f>
        <x:v>66742585.69749009</x:v>
      </x:c>
      <x:c r="S84" s="3" t="n">
        <x:f>'Расчёт'!$E$28+P84*'Расчёт'!$B$124</x:f>
        <x:v>49419259.1286303</x:v>
      </x:c>
      <x:c r="T84" s="3" t="n">
        <x:f>'Расчёт'!$F$28+Q84*'Расчёт'!$B$122+(O84+'Расчёт'!$F$32)*'Расчёт'!$B$123</x:f>
        <x:v>54836562.07624965</x:v>
      </x:c>
    </x:row>
    <x:row r="85">
      <x:c r="A85" s="3" t="n">
        <x:v>4900</x:v>
      </x:c>
      <x:c r="B85" s="3" t="n">
        <x:f>R85-T85</x:f>
        <x:v>12580280.723524235</x:v>
      </x:c>
      <x:c r="C85" s="3" t="n">
        <x:f>S85-T85</x:f>
        <x:v>-5417302.947619356</x:v>
      </x:c>
      <x:c r="D85" s="3" t="str">
        <x:f>IF(AND(B85&gt;=0,B84&lt;0),A84+(A85-A84)*(-B84)/(B85-B84),"")</x:f>
      </x:c>
      <x:c r="E85" s="3" t="str">
        <x:f>IF(AND(C85&gt;=0,C84&lt;0),A84+(A85-A84)*(-C84)/(C85-C84),"")</x:f>
      </x:c>
      <x:c r="F85" s="3" t="n">
        <x:f>MIN(A85*(1-'Параметры'!$B$14)*'Параметры'!$B$15,'Параметры'!$B$23*(1-'Параметры'!$B$24))</x:f>
        <x:v>2350</x:v>
      </x:c>
      <x:c r="G85" s="3" t="n">
        <x:f>F85*'Параметры'!$B$25*'Параметры'!$B$26</x:f>
        <x:v>1298.375</x:v>
      </x:c>
      <x:c r="H85" s="3" t="n">
        <x:f>MAX(0,A85-'Расчёт'!$D$8)</x:f>
        <x:v>1600</x:v>
      </x:c>
      <x:c r="I85" s="3" t="n">
        <x:f>IF('Параметры'!$B$21*'Параметры'!$B$22=0,0,ROUNDUP(H85/('Расчёт'!$D$7*'Параметры'!$B$17*'Параметры'!$B$21*'Параметры'!$B$22),0))</x:f>
        <x:v>4</x:v>
      </x:c>
      <x:c r="J85" s="3" t="n">
        <x:f>MAX(0,H85-I85*'Расчёт'!$D$7*'Параметры'!$B$17*'Параметры'!$B$21*'Параметры'!$B$22)</x:f>
        <x:v>0</x:v>
      </x:c>
      <x:c r="K85" s="3" t="n">
        <x:f>IF('Параметры'!$B$21*'Параметры'!$B$22=0,0,ROUNDUP(MAX(0,A85-G85-'Расчёт'!$F$8)/('Расчёт'!$F$7*'Параметры'!$B$17*'Параметры'!$B$21*'Параметры'!$B$22),0))</x:f>
        <x:v>1</x:v>
      </x:c>
      <x:c r="L85" s="3" t="n">
        <x:f>MAX(0,A85-G85-'Расчёт'!$F$8-K85*'Расчёт'!$F$7*'Параметры'!$B$17*'Параметры'!$B$21*'Параметры'!$B$22)</x:f>
        <x:v>0</x:v>
      </x:c>
      <x:c r="M85" s="3" t="n">
        <x:f>MIN(H85,I85*'Расчёт'!$E$7*'Параметры'!$B$17*'Параметры'!$B$21*'Параметры'!$B$22)</x:f>
        <x:v>1600</x:v>
      </x:c>
      <x:c r="N85" s="3" t="n">
        <x:f>MIN(MAX(0,A85-G85-'Расчёт'!$F$8),K85*'Расчёт'!$F$7*'Параметры'!$B$17*'Параметры'!$B$21*'Параметры'!$B$22)</x:f>
        <x:v>301.625</x:v>
      </x:c>
      <x:c r="O85" s="3" t="n">
        <x:f>'Расчёт'!$D$33+'Расчёт'!$D$34+'Расчёт'!$D$29+(A85*'Параметры'!$B$8+'Расчёт'!$D$6*('Параметры'!$B$9-'Параметры'!$B$8))*'Параметры'!$B$49*'Параметры'!$B$52+(H85*'Параметры'!$B$8+'Расчёт'!$D$20*('Параметры'!$B$9-'Параметры'!$B$8))*'Параметры'!$B$53</x:f>
        <x:v>19557832</x:v>
      </x:c>
      <x:c r="P85" s="3" t="n">
        <x:f>'Расчёт'!$E$33+'Расчёт'!$E$34+'Расчёт'!$E$29+I85*('Параметры'!$B$8*'Параметры'!$B$17*'Параметры'!$B$22*'Параметры'!$B$32+'Параметры'!$B$33+'Параметры'!$B$34*'Параметры'!$B$32+'Параметры'!$B$35)+((A85*'Параметры'!$B$8+'Расчёт'!$E$6*('Параметры'!$B$9-'Параметры'!$B$8))*'Параметры'!$B$49+M85*'Параметры'!$B$8*('Параметры'!$B$50-'Параметры'!$B$49))*'Параметры'!$B$52+(J85*'Параметры'!$B$8+'Расчёт'!$E$20*('Параметры'!$B$9-'Параметры'!$B$8))*'Параметры'!$B$53</x:f>
        <x:v>14315432</x:v>
      </x:c>
      <x:c r="Q85" s="3" t="n">
        <x:f>'Расчёт'!$F$33+'Расчёт'!$F$34+'Расчёт'!$F$29+'Расчёт'!$F$30+'Расчёт'!$F$32+K85*('Параметры'!$B$8*'Параметры'!$B$17*'Параметры'!$B$22*'Параметры'!$B$32+'Параметры'!$B$33+'Параметры'!$B$34*'Параметры'!$B$32+'Параметры'!$B$35)+((A85*'Параметры'!$B$8+'Расчёт'!$F$6*('Параметры'!$B$9-'Параметры'!$B$8))*'Параметры'!$B$49-(F85*'Параметры'!$B$8+'Расчёт'!$F$12*('Параметры'!$B$9-'Параметры'!$B$8))*('Параметры'!$B$49-'Параметры'!$B$51)+N85*'Параметры'!$B$8*('Параметры'!$B$50-'Параметры'!$B$49))*'Параметры'!$B$52+(L85*'Параметры'!$B$8+'Расчёт'!$F$20*('Параметры'!$B$9-'Параметры'!$B$8))*'Параметры'!$B$53</x:f>
        <x:v>14233087</x:v>
      </x:c>
      <x:c r="R85" s="3" t="n">
        <x:f>'Расчёт'!$D$28+O85*'Расчёт'!$B$124</x:f>
        <x:v>67443620.83133098</x:v>
      </x:c>
      <x:c r="S85" s="3" t="n">
        <x:f>'Расчёт'!$E$28+P85*'Расчёт'!$B$124</x:f>
        <x:v>49446037.16018739</x:v>
      </x:c>
      <x:c r="T85" s="3" t="n">
        <x:f>'Расчёт'!$F$28+Q85*'Расчёт'!$B$122+(O85+'Расчёт'!$F$32)*'Расчёт'!$B$123</x:f>
        <x:v>54863340.10780675</x:v>
      </x:c>
    </x:row>
    <x:row r="86">
      <x:c r="A86" s="3" t="n">
        <x:v>4950</x:v>
      </x:c>
      <x:c r="B86" s="3" t="n">
        <x:f>R86-T86</x:f>
        <x:v>13254537.825808048</x:v>
      </x:c>
      <x:c r="C86" s="3" t="n">
        <x:f>S86-T86</x:f>
        <x:v>-5417302.947619349</x:v>
      </x:c>
      <x:c r="D86" s="3" t="str">
        <x:f>IF(AND(B86&gt;=0,B85&lt;0),A85+(A86-A85)*(-B85)/(B86-B85),"")</x:f>
      </x:c>
      <x:c r="E86" s="3" t="str">
        <x:f>IF(AND(C86&gt;=0,C85&lt;0),A85+(A86-A85)*(-C85)/(C86-C85),"")</x:f>
      </x:c>
      <x:c r="F86" s="3" t="n">
        <x:f>MIN(A86*(1-'Параметры'!$B$14)*'Параметры'!$B$15,'Параметры'!$B$23*(1-'Параметры'!$B$24))</x:f>
        <x:v>2350</x:v>
      </x:c>
      <x:c r="G86" s="3" t="n">
        <x:f>F86*'Параметры'!$B$25*'Параметры'!$B$26</x:f>
        <x:v>1298.375</x:v>
      </x:c>
      <x:c r="H86" s="3" t="n">
        <x:f>MAX(0,A86-'Расчёт'!$D$8)</x:f>
        <x:v>1650</x:v>
      </x:c>
      <x:c r="I86" s="3" t="n">
        <x:f>IF('Параметры'!$B$21*'Параметры'!$B$22=0,0,ROUNDUP(H86/('Расчёт'!$D$7*'Параметры'!$B$17*'Параметры'!$B$21*'Параметры'!$B$22),0))</x:f>
        <x:v>4</x:v>
      </x:c>
      <x:c r="J86" s="3" t="n">
        <x:f>MAX(0,H86-I86*'Расчёт'!$D$7*'Параметры'!$B$17*'Параметры'!$B$21*'Параметры'!$B$22)</x:f>
        <x:v>0</x:v>
      </x:c>
      <x:c r="K86" s="3" t="n">
        <x:f>IF('Параметры'!$B$21*'Параметры'!$B$22=0,0,ROUNDUP(MAX(0,A86-G86-'Расчёт'!$F$8)/('Расчёт'!$F$7*'Параметры'!$B$17*'Параметры'!$B$21*'Параметры'!$B$22),0))</x:f>
        <x:v>1</x:v>
      </x:c>
      <x:c r="L86" s="3" t="n">
        <x:f>MAX(0,A86-G86-'Расчёт'!$F$8-K86*'Расчёт'!$F$7*'Параметры'!$B$17*'Параметры'!$B$21*'Параметры'!$B$22)</x:f>
        <x:v>0</x:v>
      </x:c>
      <x:c r="M86" s="3" t="n">
        <x:f>MIN(H86,I86*'Расчёт'!$E$7*'Параметры'!$B$17*'Параметры'!$B$21*'Параметры'!$B$22)</x:f>
        <x:v>1650</x:v>
      </x:c>
      <x:c r="N86" s="3" t="n">
        <x:f>MIN(MAX(0,A86-G86-'Расчёт'!$F$8),K86*'Расчёт'!$F$7*'Параметры'!$B$17*'Параметры'!$B$21*'Параметры'!$B$22)</x:f>
        <x:v>351.625</x:v>
      </x:c>
      <x:c r="O86" s="3" t="n">
        <x:f>'Расчёт'!$D$33+'Расчёт'!$D$34+'Расчёт'!$D$29+(A86*'Параметры'!$B$8+'Расчёт'!$D$6*('Параметры'!$B$9-'Параметры'!$B$8))*'Параметры'!$B$49*'Параметры'!$B$52+(H86*'Параметры'!$B$8+'Расчёт'!$D$20*('Параметры'!$B$9-'Параметры'!$B$8))*'Параметры'!$B$53</x:f>
        <x:v>19762032</x:v>
      </x:c>
      <x:c r="P86" s="3" t="n">
        <x:f>'Расчёт'!$E$33+'Расчёт'!$E$34+'Расчёт'!$E$29+I86*('Параметры'!$B$8*'Параметры'!$B$17*'Параметры'!$B$22*'Параметры'!$B$32+'Параметры'!$B$33+'Параметры'!$B$34*'Параметры'!$B$32+'Параметры'!$B$35)+((A86*'Параметры'!$B$8+'Расчёт'!$E$6*('Параметры'!$B$9-'Параметры'!$B$8))*'Параметры'!$B$49+M86*'Параметры'!$B$8*('Параметры'!$B$50-'Параметры'!$B$49))*'Параметры'!$B$52+(J86*'Параметры'!$B$8+'Расчёт'!$E$20*('Параметры'!$B$9-'Параметры'!$B$8))*'Параметры'!$B$53</x:f>
        <x:v>14323232</x:v>
      </x:c>
      <x:c r="Q86" s="3" t="n">
        <x:f>'Расчёт'!$F$33+'Расчёт'!$F$34+'Расчёт'!$F$29+'Расчёт'!$F$30+'Расчёт'!$F$32+K86*('Параметры'!$B$8*'Параметры'!$B$17*'Параметры'!$B$22*'Параметры'!$B$32+'Параметры'!$B$33+'Параметры'!$B$34*'Параметры'!$B$32+'Параметры'!$B$35)+((A86*'Параметры'!$B$8+'Расчёт'!$F$6*('Параметры'!$B$9-'Параметры'!$B$8))*'Параметры'!$B$49-(F86*'Параметры'!$B$8+'Расчёт'!$F$12*('Параметры'!$B$9-'Параметры'!$B$8))*('Параметры'!$B$49-'Параметры'!$B$51)+N86*'Параметры'!$B$8*('Параметры'!$B$50-'Параметры'!$B$49))*'Параметры'!$B$52+(L86*'Параметры'!$B$8+'Расчёт'!$F$20*('Параметры'!$B$9-'Параметры'!$B$8))*'Параметры'!$B$53</x:f>
        <x:v>14240887</x:v>
      </x:c>
      <x:c r="R86" s="3" t="n">
        <x:f>'Расчёт'!$D$28+O86*'Расчёт'!$B$124</x:f>
        <x:v>68144655.96517189</x:v>
      </x:c>
      <x:c r="S86" s="3" t="n">
        <x:f>'Расчёт'!$E$28+P86*'Расчёт'!$B$124</x:f>
        <x:v>49472815.19174449</x:v>
      </x:c>
      <x:c r="T86" s="3" t="n">
        <x:f>'Расчёт'!$F$28+Q86*'Расчёт'!$B$122+(O86+'Расчёт'!$F$32)*'Расчёт'!$B$123</x:f>
        <x:v>54890118.13936384</x:v>
      </x:c>
    </x:row>
    <x:row r="87">
      <x:c r="A87" s="3" t="n">
        <x:v>5000</x:v>
      </x:c>
      <x:c r="B87" s="3" t="n">
        <x:f>R87-T87</x:f>
        <x:v>13928794.928091839</x:v>
      </x:c>
      <x:c r="C87" s="3" t="n">
        <x:f>S87-T87</x:f>
        <x:v>-5417302.947619349</x:v>
      </x:c>
      <x:c r="D87" s="3" t="str">
        <x:f>IF(AND(B87&gt;=0,B86&lt;0),A86+(A87-A86)*(-B86)/(B87-B86),"")</x:f>
      </x:c>
      <x:c r="E87" s="3" t="str">
        <x:f>IF(AND(C87&gt;=0,C86&lt;0),A86+(A87-A86)*(-C86)/(C87-C86),"")</x:f>
      </x:c>
      <x:c r="F87" s="3" t="n">
        <x:f>MIN(A87*(1-'Параметры'!$B$14)*'Параметры'!$B$15,'Параметры'!$B$23*(1-'Параметры'!$B$24))</x:f>
        <x:v>2350</x:v>
      </x:c>
      <x:c r="G87" s="3" t="n">
        <x:f>F87*'Параметры'!$B$25*'Параметры'!$B$26</x:f>
        <x:v>1298.375</x:v>
      </x:c>
      <x:c r="H87" s="3" t="n">
        <x:f>MAX(0,A87-'Расчёт'!$D$8)</x:f>
        <x:v>1700</x:v>
      </x:c>
      <x:c r="I87" s="3" t="n">
        <x:f>IF('Параметры'!$B$21*'Параметры'!$B$22=0,0,ROUNDUP(H87/('Расчёт'!$D$7*'Параметры'!$B$17*'Параметры'!$B$21*'Параметры'!$B$22),0))</x:f>
        <x:v>4</x:v>
      </x:c>
      <x:c r="J87" s="3" t="n">
        <x:f>MAX(0,H87-I87*'Расчёт'!$D$7*'Параметры'!$B$17*'Параметры'!$B$21*'Параметры'!$B$22)</x:f>
        <x:v>0</x:v>
      </x:c>
      <x:c r="K87" s="3" t="n">
        <x:f>IF('Параметры'!$B$21*'Параметры'!$B$22=0,0,ROUNDUP(MAX(0,A87-G87-'Расчёт'!$F$8)/('Расчёт'!$F$7*'Параметры'!$B$17*'Параметры'!$B$21*'Параметры'!$B$22),0))</x:f>
        <x:v>1</x:v>
      </x:c>
      <x:c r="L87" s="3" t="n">
        <x:f>MAX(0,A87-G87-'Расчёт'!$F$8-K87*'Расчёт'!$F$7*'Параметры'!$B$17*'Параметры'!$B$21*'Параметры'!$B$22)</x:f>
        <x:v>0</x:v>
      </x:c>
      <x:c r="M87" s="3" t="n">
        <x:f>MIN(H87,I87*'Расчёт'!$E$7*'Параметры'!$B$17*'Параметры'!$B$21*'Параметры'!$B$22)</x:f>
        <x:v>1700</x:v>
      </x:c>
      <x:c r="N87" s="3" t="n">
        <x:f>MIN(MAX(0,A87-G87-'Расчёт'!$F$8),K87*'Расчёт'!$F$7*'Параметры'!$B$17*'Параметры'!$B$21*'Параметры'!$B$22)</x:f>
        <x:v>401.625</x:v>
      </x:c>
      <x:c r="O87" s="3" t="n">
        <x:f>'Расчёт'!$D$33+'Расчёт'!$D$34+'Расчёт'!$D$29+(A87*'Параметры'!$B$8+'Расчёт'!$D$6*('Параметры'!$B$9-'Параметры'!$B$8))*'Параметры'!$B$49*'Параметры'!$B$52+(H87*'Параметры'!$B$8+'Расчёт'!$D$20*('Параметры'!$B$9-'Параметры'!$B$8))*'Параметры'!$B$53</x:f>
        <x:v>19966232</x:v>
      </x:c>
      <x:c r="P87" s="3" t="n">
        <x:f>'Расчёт'!$E$33+'Расчёт'!$E$34+'Расчёт'!$E$29+I87*('Параметры'!$B$8*'Параметры'!$B$17*'Параметры'!$B$22*'Параметры'!$B$32+'Параметры'!$B$33+'Параметры'!$B$34*'Параметры'!$B$32+'Параметры'!$B$35)+((A87*'Параметры'!$B$8+'Расчёт'!$E$6*('Параметры'!$B$9-'Параметры'!$B$8))*'Параметры'!$B$49+M87*'Параметры'!$B$8*('Параметры'!$B$50-'Параметры'!$B$49))*'Параметры'!$B$52+(J87*'Параметры'!$B$8+'Расчёт'!$E$20*('Параметры'!$B$9-'Параметры'!$B$8))*'Параметры'!$B$53</x:f>
        <x:v>14331032</x:v>
      </x:c>
      <x:c r="Q87" s="3" t="n">
        <x:f>'Расчёт'!$F$33+'Расчёт'!$F$34+'Расчёт'!$F$29+'Расчёт'!$F$30+'Расчёт'!$F$32+K87*('Параметры'!$B$8*'Параметры'!$B$17*'Параметры'!$B$22*'Параметры'!$B$32+'Параметры'!$B$33+'Параметры'!$B$34*'Параметры'!$B$32+'Параметры'!$B$35)+((A87*'Параметры'!$B$8+'Расчёт'!$F$6*('Параметры'!$B$9-'Параметры'!$B$8))*'Параметры'!$B$49-(F87*'Параметры'!$B$8+'Расчёт'!$F$12*('Параметры'!$B$9-'Параметры'!$B$8))*('Параметры'!$B$49-'Параметры'!$B$51)+N87*'Параметры'!$B$8*('Параметры'!$B$50-'Параметры'!$B$49))*'Параметры'!$B$52+(L87*'Параметры'!$B$8+'Расчёт'!$F$20*('Параметры'!$B$9-'Параметры'!$B$8))*'Параметры'!$B$53</x:f>
        <x:v>14248687</x:v>
      </x:c>
      <x:c r="R87" s="3" t="n">
        <x:f>'Расчёт'!$D$28+O87*'Расчёт'!$B$124</x:f>
        <x:v>68845691.09901278</x:v>
      </x:c>
      <x:c r="S87" s="3" t="n">
        <x:f>'Расчёт'!$E$28+P87*'Расчёт'!$B$124</x:f>
        <x:v>49499593.22330159</x:v>
      </x:c>
      <x:c r="T87" s="3" t="n">
        <x:f>'Расчёт'!$F$28+Q87*'Расчёт'!$B$122+(O87+'Расчёт'!$F$32)*'Расчёт'!$B$123</x:f>
        <x:v>54916896.17092094</x:v>
      </x:c>
    </x:row>
    <x:row r="88">
      <x:c r="A88" s="3" t="n">
        <x:v>5050</x:v>
      </x:c>
      <x:c r="B88" s="3" t="n">
        <x:f>R88-T88</x:f>
        <x:v>14603052.030375645</x:v>
      </x:c>
      <x:c r="C88" s="3" t="n">
        <x:f>S88-T88</x:f>
        <x:v>-5417302.947619349</x:v>
      </x:c>
      <x:c r="D88" s="3" t="str">
        <x:f>IF(AND(B88&gt;=0,B87&lt;0),A87+(A88-A87)*(-B87)/(B88-B87),"")</x:f>
      </x:c>
      <x:c r="E88" s="3" t="str">
        <x:f>IF(AND(C88&gt;=0,C87&lt;0),A87+(A88-A87)*(-C87)/(C88-C87),"")</x:f>
      </x:c>
      <x:c r="F88" s="3" t="n">
        <x:f>MIN(A88*(1-'Параметры'!$B$14)*'Параметры'!$B$15,'Параметры'!$B$23*(1-'Параметры'!$B$24))</x:f>
        <x:v>2350</x:v>
      </x:c>
      <x:c r="G88" s="3" t="n">
        <x:f>F88*'Параметры'!$B$25*'Параметры'!$B$26</x:f>
        <x:v>1298.375</x:v>
      </x:c>
      <x:c r="H88" s="3" t="n">
        <x:f>MAX(0,A88-'Расчёт'!$D$8)</x:f>
        <x:v>1750</x:v>
      </x:c>
      <x:c r="I88" s="3" t="n">
        <x:f>IF('Параметры'!$B$21*'Параметры'!$B$22=0,0,ROUNDUP(H88/('Расчёт'!$D$7*'Параметры'!$B$17*'Параметры'!$B$21*'Параметры'!$B$22),0))</x:f>
        <x:v>4</x:v>
      </x:c>
      <x:c r="J88" s="3" t="n">
        <x:f>MAX(0,H88-I88*'Расчёт'!$D$7*'Параметры'!$B$17*'Параметры'!$B$21*'Параметры'!$B$22)</x:f>
        <x:v>0</x:v>
      </x:c>
      <x:c r="K88" s="3" t="n">
        <x:f>IF('Параметры'!$B$21*'Параметры'!$B$22=0,0,ROUNDUP(MAX(0,A88-G88-'Расчёт'!$F$8)/('Расчёт'!$F$7*'Параметры'!$B$17*'Параметры'!$B$21*'Параметры'!$B$22),0))</x:f>
        <x:v>1</x:v>
      </x:c>
      <x:c r="L88" s="3" t="n">
        <x:f>MAX(0,A88-G88-'Расчёт'!$F$8-K88*'Расчёт'!$F$7*'Параметры'!$B$17*'Параметры'!$B$21*'Параметры'!$B$22)</x:f>
        <x:v>0</x:v>
      </x:c>
      <x:c r="M88" s="3" t="n">
        <x:f>MIN(H88,I88*'Расчёт'!$E$7*'Параметры'!$B$17*'Параметры'!$B$21*'Параметры'!$B$22)</x:f>
        <x:v>1750</x:v>
      </x:c>
      <x:c r="N88" s="3" t="n">
        <x:f>MIN(MAX(0,A88-G88-'Расчёт'!$F$8),K88*'Расчёт'!$F$7*'Параметры'!$B$17*'Параметры'!$B$21*'Параметры'!$B$22)</x:f>
        <x:v>451.625</x:v>
      </x:c>
      <x:c r="O88" s="3" t="n">
        <x:f>'Расчёт'!$D$33+'Расчёт'!$D$34+'Расчёт'!$D$29+(A88*'Параметры'!$B$8+'Расчёт'!$D$6*('Параметры'!$B$9-'Параметры'!$B$8))*'Параметры'!$B$49*'Параметры'!$B$52+(H88*'Параметры'!$B$8+'Расчёт'!$D$20*('Параметры'!$B$9-'Параметры'!$B$8))*'Параметры'!$B$53</x:f>
        <x:v>20170432</x:v>
      </x:c>
      <x:c r="P88" s="3" t="n">
        <x:f>'Расчёт'!$E$33+'Расчёт'!$E$34+'Расчёт'!$E$29+I88*('Параметры'!$B$8*'Параметры'!$B$17*'Параметры'!$B$22*'Параметры'!$B$32+'Параметры'!$B$33+'Параметры'!$B$34*'Параметры'!$B$32+'Параметры'!$B$35)+((A88*'Параметры'!$B$8+'Расчёт'!$E$6*('Параметры'!$B$9-'Параметры'!$B$8))*'Параметры'!$B$49+M88*'Параметры'!$B$8*('Параметры'!$B$50-'Параметры'!$B$49))*'Параметры'!$B$52+(J88*'Параметры'!$B$8+'Расчёт'!$E$20*('Параметры'!$B$9-'Параметры'!$B$8))*'Параметры'!$B$53</x:f>
        <x:v>14338832</x:v>
      </x:c>
      <x:c r="Q88" s="3" t="n">
        <x:f>'Расчёт'!$F$33+'Расчёт'!$F$34+'Расчёт'!$F$29+'Расчёт'!$F$30+'Расчёт'!$F$32+K88*('Параметры'!$B$8*'Параметры'!$B$17*'Параметры'!$B$22*'Параметры'!$B$32+'Параметры'!$B$33+'Параметры'!$B$34*'Параметры'!$B$32+'Параметры'!$B$35)+((A88*'Параметры'!$B$8+'Расчёт'!$F$6*('Параметры'!$B$9-'Параметры'!$B$8))*'Параметры'!$B$49-(F88*'Параметры'!$B$8+'Расчёт'!$F$12*('Параметры'!$B$9-'Параметры'!$B$8))*('Параметры'!$B$49-'Параметры'!$B$51)+N88*'Параметры'!$B$8*('Параметры'!$B$50-'Параметры'!$B$49))*'Параметры'!$B$52+(L88*'Параметры'!$B$8+'Расчёт'!$F$20*('Параметры'!$B$9-'Параметры'!$B$8))*'Параметры'!$B$53</x:f>
        <x:v>14256487</x:v>
      </x:c>
      <x:c r="R88" s="3" t="n">
        <x:f>'Расчёт'!$D$28+O88*'Расчёт'!$B$124</x:f>
        <x:v>69546726.23285368</x:v>
      </x:c>
      <x:c r="S88" s="3" t="n">
        <x:f>'Расчёт'!$E$28+P88*'Расчёт'!$B$124</x:f>
        <x:v>49526371.25485869</x:v>
      </x:c>
      <x:c r="T88" s="3" t="n">
        <x:f>'Расчёт'!$F$28+Q88*'Расчёт'!$B$122+(O88+'Расчёт'!$F$32)*'Расчёт'!$B$123</x:f>
        <x:v>54943674.20247804</x:v>
      </x:c>
    </x:row>
    <x:row r="89">
      <x:c r="A89" s="3" t="n">
        <x:v>5100</x:v>
      </x:c>
      <x:c r="B89" s="3" t="n">
        <x:f>R89-T89</x:f>
        <x:v>14382648.232174926</x:v>
      </x:c>
      <x:c r="C89" s="3" t="n">
        <x:f>S89-T89</x:f>
        <x:v>-6311963.848103866</x:v>
      </x:c>
      <x:c r="D89" s="3" t="str">
        <x:f>IF(AND(B89&gt;=0,B88&lt;0),A88+(A89-A88)*(-B88)/(B89-B88),"")</x:f>
      </x:c>
      <x:c r="E89" s="3" t="str">
        <x:f>IF(AND(C89&gt;=0,C88&lt;0),A88+(A89-A88)*(-C88)/(C89-C88),"")</x:f>
      </x:c>
      <x:c r="F89" s="3" t="n">
        <x:f>MIN(A89*(1-'Параметры'!$B$14)*'Параметры'!$B$15,'Параметры'!$B$23*(1-'Параметры'!$B$24))</x:f>
        <x:v>2350</x:v>
      </x:c>
      <x:c r="G89" s="3" t="n">
        <x:f>F89*'Параметры'!$B$25*'Параметры'!$B$26</x:f>
        <x:v>1298.375</x:v>
      </x:c>
      <x:c r="H89" s="3" t="n">
        <x:f>MAX(0,A89-'Расчёт'!$D$8)</x:f>
        <x:v>1800</x:v>
      </x:c>
      <x:c r="I89" s="3" t="n">
        <x:f>IF('Параметры'!$B$21*'Параметры'!$B$22=0,0,ROUNDUP(H89/('Расчёт'!$D$7*'Параметры'!$B$17*'Параметры'!$B$21*'Параметры'!$B$22),0))</x:f>
        <x:v>4</x:v>
      </x:c>
      <x:c r="J89" s="3" t="n">
        <x:f>MAX(0,H89-I89*'Расчёт'!$D$7*'Параметры'!$B$17*'Параметры'!$B$21*'Параметры'!$B$22)</x:f>
        <x:v>0</x:v>
      </x:c>
      <x:c r="K89" s="3" t="n">
        <x:f>IF('Параметры'!$B$21*'Параметры'!$B$22=0,0,ROUNDUP(MAX(0,A89-G89-'Расчёт'!$F$8)/('Расчёт'!$F$7*'Параметры'!$B$17*'Параметры'!$B$21*'Параметры'!$B$22),0))</x:f>
        <x:v>2</x:v>
      </x:c>
      <x:c r="L89" s="3" t="n">
        <x:f>MAX(0,A89-G89-'Расчёт'!$F$8-K89*'Расчёт'!$F$7*'Параметры'!$B$17*'Параметры'!$B$21*'Параметры'!$B$22)</x:f>
        <x:v>0</x:v>
      </x:c>
      <x:c r="M89" s="3" t="n">
        <x:f>MIN(H89,I89*'Расчёт'!$E$7*'Параметры'!$B$17*'Параметры'!$B$21*'Параметры'!$B$22)</x:f>
        <x:v>1800</x:v>
      </x:c>
      <x:c r="N89" s="3" t="n">
        <x:f>MIN(MAX(0,A89-G89-'Расчёт'!$F$8),K89*'Расчёт'!$F$7*'Параметры'!$B$17*'Параметры'!$B$21*'Параметры'!$B$22)</x:f>
        <x:v>501.625</x:v>
      </x:c>
      <x:c r="O89" s="3" t="n">
        <x:f>'Расчёт'!$D$33+'Расчёт'!$D$34+'Расчёт'!$D$29+(A89*'Параметры'!$B$8+'Расчёт'!$D$6*('Параметры'!$B$9-'Параметры'!$B$8))*'Параметры'!$B$49*'Параметры'!$B$52+(H89*'Параметры'!$B$8+'Расчёт'!$D$20*('Параметры'!$B$9-'Параметры'!$B$8))*'Параметры'!$B$53</x:f>
        <x:v>20374632</x:v>
      </x:c>
      <x:c r="P89" s="3" t="n">
        <x:f>'Расчёт'!$E$33+'Расчёт'!$E$34+'Расчёт'!$E$29+I89*('Параметры'!$B$8*'Параметры'!$B$17*'Параметры'!$B$22*'Параметры'!$B$32+'Параметры'!$B$33+'Параметры'!$B$34*'Параметры'!$B$32+'Параметры'!$B$35)+((A89*'Параметры'!$B$8+'Расчёт'!$E$6*('Параметры'!$B$9-'Параметры'!$B$8))*'Параметры'!$B$49+M89*'Параметры'!$B$8*('Параметры'!$B$50-'Параметры'!$B$49))*'Параметры'!$B$52+(J89*'Параметры'!$B$8+'Расчёт'!$E$20*('Параметры'!$B$9-'Параметры'!$B$8))*'Параметры'!$B$53</x:f>
        <x:v>14346632</x:v>
      </x:c>
      <x:c r="Q89" s="3" t="n">
        <x:f>'Расчёт'!$F$33+'Расчёт'!$F$34+'Расчёт'!$F$29+'Расчёт'!$F$30+'Расчёт'!$F$32+K89*('Параметры'!$B$8*'Параметры'!$B$17*'Параметры'!$B$22*'Параметры'!$B$32+'Параметры'!$B$33+'Параметры'!$B$34*'Параметры'!$B$32+'Параметры'!$B$35)+((A89*'Параметры'!$B$8+'Расчёт'!$F$6*('Параметры'!$B$9-'Параметры'!$B$8))*'Параметры'!$B$49-(F89*'Параметры'!$B$8+'Расчёт'!$F$12*('Параметры'!$B$9-'Параметры'!$B$8))*('Параметры'!$B$49-'Параметры'!$B$51)+N89*'Параметры'!$B$8*('Параметры'!$B$50-'Параметры'!$B$49))*'Параметры'!$B$52+(L89*'Параметры'!$B$8+'Расчёт'!$F$20*('Параметры'!$B$9-'Параметры'!$B$8))*'Параметры'!$B$53</x:f>
        <x:v>14524887</x:v>
      </x:c>
      <x:c r="R89" s="3" t="n">
        <x:f>'Расчёт'!$D$28+O89*'Расчёт'!$B$124</x:f>
        <x:v>70247761.36669457</x:v>
      </x:c>
      <x:c r="S89" s="3" t="n">
        <x:f>'Расчёт'!$E$28+P89*'Расчёт'!$B$124</x:f>
        <x:v>49553149.28641578</x:v>
      </x:c>
      <x:c r="T89" s="3" t="n">
        <x:f>'Расчёт'!$F$28+Q89*'Расчёт'!$B$122+(O89+'Расчёт'!$F$32)*'Расчёт'!$B$123</x:f>
        <x:v>55865113.134519644</x:v>
      </x:c>
    </x:row>
    <x:row r="90">
      <x:c r="A90" s="3" t="n">
        <x:v>5150</x:v>
      </x:c>
      <x:c r="B90" s="3" t="n">
        <x:f>R90-T90</x:f>
        <x:v>15056905.334458731</x:v>
      </x:c>
      <x:c r="C90" s="3" t="n">
        <x:f>S90-T90</x:f>
        <x:v>-6311963.848103866</x:v>
      </x:c>
      <x:c r="D90" s="3" t="str">
        <x:f>IF(AND(B90&gt;=0,B89&lt;0),A89+(A90-A89)*(-B89)/(B90-B89),"")</x:f>
      </x:c>
      <x:c r="E90" s="3" t="str">
        <x:f>IF(AND(C90&gt;=0,C89&lt;0),A89+(A90-A89)*(-C89)/(C90-C89),"")</x:f>
      </x:c>
      <x:c r="F90" s="3" t="n">
        <x:f>MIN(A90*(1-'Параметры'!$B$14)*'Параметры'!$B$15,'Параметры'!$B$23*(1-'Параметры'!$B$24))</x:f>
        <x:v>2350</x:v>
      </x:c>
      <x:c r="G90" s="3" t="n">
        <x:f>F90*'Параметры'!$B$25*'Параметры'!$B$26</x:f>
        <x:v>1298.375</x:v>
      </x:c>
      <x:c r="H90" s="3" t="n">
        <x:f>MAX(0,A90-'Расчёт'!$D$8)</x:f>
        <x:v>1850</x:v>
      </x:c>
      <x:c r="I90" s="3" t="n">
        <x:f>IF('Параметры'!$B$21*'Параметры'!$B$22=0,0,ROUNDUP(H90/('Расчёт'!$D$7*'Параметры'!$B$17*'Параметры'!$B$21*'Параметры'!$B$22),0))</x:f>
        <x:v>4</x:v>
      </x:c>
      <x:c r="J90" s="3" t="n">
        <x:f>MAX(0,H90-I90*'Расчёт'!$D$7*'Параметры'!$B$17*'Параметры'!$B$21*'Параметры'!$B$22)</x:f>
        <x:v>0</x:v>
      </x:c>
      <x:c r="K90" s="3" t="n">
        <x:f>IF('Параметры'!$B$21*'Параметры'!$B$22=0,0,ROUNDUP(MAX(0,A90-G90-'Расчёт'!$F$8)/('Расчёт'!$F$7*'Параметры'!$B$17*'Параметры'!$B$21*'Параметры'!$B$22),0))</x:f>
        <x:v>2</x:v>
      </x:c>
      <x:c r="L90" s="3" t="n">
        <x:f>MAX(0,A90-G90-'Расчёт'!$F$8-K90*'Расчёт'!$F$7*'Параметры'!$B$17*'Параметры'!$B$21*'Параметры'!$B$22)</x:f>
        <x:v>0</x:v>
      </x:c>
      <x:c r="M90" s="3" t="n">
        <x:f>MIN(H90,I90*'Расчёт'!$E$7*'Параметры'!$B$17*'Параметры'!$B$21*'Параметры'!$B$22)</x:f>
        <x:v>1850</x:v>
      </x:c>
      <x:c r="N90" s="3" t="n">
        <x:f>MIN(MAX(0,A90-G90-'Расчёт'!$F$8),K90*'Расчёт'!$F$7*'Параметры'!$B$17*'Параметры'!$B$21*'Параметры'!$B$22)</x:f>
        <x:v>551.625</x:v>
      </x:c>
      <x:c r="O90" s="3" t="n">
        <x:f>'Расчёт'!$D$33+'Расчёт'!$D$34+'Расчёт'!$D$29+(A90*'Параметры'!$B$8+'Расчёт'!$D$6*('Параметры'!$B$9-'Параметры'!$B$8))*'Параметры'!$B$49*'Параметры'!$B$52+(H90*'Параметры'!$B$8+'Расчёт'!$D$20*('Параметры'!$B$9-'Параметры'!$B$8))*'Параметры'!$B$53</x:f>
        <x:v>20578832</x:v>
      </x:c>
      <x:c r="P90" s="3" t="n">
        <x:f>'Расчёт'!$E$33+'Расчёт'!$E$34+'Расчёт'!$E$29+I90*('Параметры'!$B$8*'Параметры'!$B$17*'Параметры'!$B$22*'Параметры'!$B$32+'Параметры'!$B$33+'Параметры'!$B$34*'Параметры'!$B$32+'Параметры'!$B$35)+((A90*'Параметры'!$B$8+'Расчёт'!$E$6*('Параметры'!$B$9-'Параметры'!$B$8))*'Параметры'!$B$49+M90*'Параметры'!$B$8*('Параметры'!$B$50-'Параметры'!$B$49))*'Параметры'!$B$52+(J90*'Параметры'!$B$8+'Расчёт'!$E$20*('Параметры'!$B$9-'Параметры'!$B$8))*'Параметры'!$B$53</x:f>
        <x:v>14354432</x:v>
      </x:c>
      <x:c r="Q90" s="3" t="n">
        <x:f>'Расчёт'!$F$33+'Расчёт'!$F$34+'Расчёт'!$F$29+'Расчёт'!$F$30+'Расчёт'!$F$32+K90*('Параметры'!$B$8*'Параметры'!$B$17*'Параметры'!$B$22*'Параметры'!$B$32+'Параметры'!$B$33+'Параметры'!$B$34*'Параметры'!$B$32+'Параметры'!$B$35)+((A90*'Параметры'!$B$8+'Расчёт'!$F$6*('Параметры'!$B$9-'Параметры'!$B$8))*'Параметры'!$B$49-(F90*'Параметры'!$B$8+'Расчёт'!$F$12*('Параметры'!$B$9-'Параметры'!$B$8))*('Параметры'!$B$49-'Параметры'!$B$51)+N90*'Параметры'!$B$8*('Параметры'!$B$50-'Параметры'!$B$49))*'Параметры'!$B$52+(L90*'Параметры'!$B$8+'Расчёт'!$F$20*('Параметры'!$B$9-'Параметры'!$B$8))*'Параметры'!$B$53</x:f>
        <x:v>14532687</x:v>
      </x:c>
      <x:c r="R90" s="3" t="n">
        <x:f>'Расчёт'!$D$28+O90*'Расчёт'!$B$124</x:f>
        <x:v>70948796.50053547</x:v>
      </x:c>
      <x:c r="S90" s="3" t="n">
        <x:f>'Расчёт'!$E$28+P90*'Расчёт'!$B$124</x:f>
        <x:v>49579927.317972876</x:v>
      </x:c>
      <x:c r="T90" s="3" t="n">
        <x:f>'Расчёт'!$F$28+Q90*'Расчёт'!$B$122+(O90+'Расчёт'!$F$32)*'Расчёт'!$B$123</x:f>
        <x:v>55891891.16607674</x:v>
      </x:c>
    </x:row>
    <x:row r="91">
      <x:c r="A91" s="3" t="n">
        <x:v>5200</x:v>
      </x:c>
      <x:c r="B91" s="3" t="n">
        <x:f>R91-T91</x:f>
        <x:v>15731162.436742522</x:v>
      </x:c>
      <x:c r="C91" s="3" t="n">
        <x:f>S91-T91</x:f>
        <x:v>-6311963.848103866</x:v>
      </x:c>
      <x:c r="D91" s="3" t="str">
        <x:f>IF(AND(B91&gt;=0,B90&lt;0),A90+(A91-A90)*(-B90)/(B91-B90),"")</x:f>
      </x:c>
      <x:c r="E91" s="3" t="str">
        <x:f>IF(AND(C91&gt;=0,C90&lt;0),A90+(A91-A90)*(-C90)/(C91-C90),"")</x:f>
      </x:c>
      <x:c r="F91" s="3" t="n">
        <x:f>MIN(A91*(1-'Параметры'!$B$14)*'Параметры'!$B$15,'Параметры'!$B$23*(1-'Параметры'!$B$24))</x:f>
        <x:v>2350</x:v>
      </x:c>
      <x:c r="G91" s="3" t="n">
        <x:f>F91*'Параметры'!$B$25*'Параметры'!$B$26</x:f>
        <x:v>1298.375</x:v>
      </x:c>
      <x:c r="H91" s="3" t="n">
        <x:f>MAX(0,A91-'Расчёт'!$D$8)</x:f>
        <x:v>1900</x:v>
      </x:c>
      <x:c r="I91" s="3" t="n">
        <x:f>IF('Параметры'!$B$21*'Параметры'!$B$22=0,0,ROUNDUP(H91/('Расчёт'!$D$7*'Параметры'!$B$17*'Параметры'!$B$21*'Параметры'!$B$22),0))</x:f>
        <x:v>4</x:v>
      </x:c>
      <x:c r="J91" s="3" t="n">
        <x:f>MAX(0,H91-I91*'Расчёт'!$D$7*'Параметры'!$B$17*'Параметры'!$B$21*'Параметры'!$B$22)</x:f>
        <x:v>0</x:v>
      </x:c>
      <x:c r="K91" s="3" t="n">
        <x:f>IF('Параметры'!$B$21*'Параметры'!$B$22=0,0,ROUNDUP(MAX(0,A91-G91-'Расчёт'!$F$8)/('Расчёт'!$F$7*'Параметры'!$B$17*'Параметры'!$B$21*'Параметры'!$B$22),0))</x:f>
        <x:v>2</x:v>
      </x:c>
      <x:c r="L91" s="3" t="n">
        <x:f>MAX(0,A91-G91-'Расчёт'!$F$8-K91*'Расчёт'!$F$7*'Параметры'!$B$17*'Параметры'!$B$21*'Параметры'!$B$22)</x:f>
        <x:v>0</x:v>
      </x:c>
      <x:c r="M91" s="3" t="n">
        <x:f>MIN(H91,I91*'Расчёт'!$E$7*'Параметры'!$B$17*'Параметры'!$B$21*'Параметры'!$B$22)</x:f>
        <x:v>1900</x:v>
      </x:c>
      <x:c r="N91" s="3" t="n">
        <x:f>MIN(MAX(0,A91-G91-'Расчёт'!$F$8),K91*'Расчёт'!$F$7*'Параметры'!$B$17*'Параметры'!$B$21*'Параметры'!$B$22)</x:f>
        <x:v>601.625</x:v>
      </x:c>
      <x:c r="O91" s="3" t="n">
        <x:f>'Расчёт'!$D$33+'Расчёт'!$D$34+'Расчёт'!$D$29+(A91*'Параметры'!$B$8+'Расчёт'!$D$6*('Параметры'!$B$9-'Параметры'!$B$8))*'Параметры'!$B$49*'Параметры'!$B$52+(H91*'Параметры'!$B$8+'Расчёт'!$D$20*('Параметры'!$B$9-'Параметры'!$B$8))*'Параметры'!$B$53</x:f>
        <x:v>20783032</x:v>
      </x:c>
      <x:c r="P91" s="3" t="n">
        <x:f>'Расчёт'!$E$33+'Расчёт'!$E$34+'Расчёт'!$E$29+I91*('Параметры'!$B$8*'Параметры'!$B$17*'Параметры'!$B$22*'Параметры'!$B$32+'Параметры'!$B$33+'Параметры'!$B$34*'Параметры'!$B$32+'Параметры'!$B$35)+((A91*'Параметры'!$B$8+'Расчёт'!$E$6*('Параметры'!$B$9-'Параметры'!$B$8))*'Параметры'!$B$49+M91*'Параметры'!$B$8*('Параметры'!$B$50-'Параметры'!$B$49))*'Параметры'!$B$52+(J91*'Параметры'!$B$8+'Расчёт'!$E$20*('Параметры'!$B$9-'Параметры'!$B$8))*'Параметры'!$B$53</x:f>
        <x:v>14362232</x:v>
      </x:c>
      <x:c r="Q91" s="3" t="n">
        <x:f>'Расчёт'!$F$33+'Расчёт'!$F$34+'Расчёт'!$F$29+'Расчёт'!$F$30+'Расчёт'!$F$32+K91*('Параметры'!$B$8*'Параметры'!$B$17*'Параметры'!$B$22*'Параметры'!$B$32+'Параметры'!$B$33+'Параметры'!$B$34*'Параметры'!$B$32+'Параметры'!$B$35)+((A91*'Параметры'!$B$8+'Расчёт'!$F$6*('Параметры'!$B$9-'Параметры'!$B$8))*'Параметры'!$B$49-(F91*'Параметры'!$B$8+'Расчёт'!$F$12*('Параметры'!$B$9-'Параметры'!$B$8))*('Параметры'!$B$49-'Параметры'!$B$51)+N91*'Параметры'!$B$8*('Параметры'!$B$50-'Параметры'!$B$49))*'Параметры'!$B$52+(L91*'Параметры'!$B$8+'Расчёт'!$F$20*('Параметры'!$B$9-'Параметры'!$B$8))*'Параметры'!$B$53</x:f>
        <x:v>14540487</x:v>
      </x:c>
      <x:c r="R91" s="3" t="n">
        <x:f>'Расчёт'!$D$28+O91*'Расчёт'!$B$124</x:f>
        <x:v>71649831.63437636</x:v>
      </x:c>
      <x:c r="S91" s="3" t="n">
        <x:f>'Расчёт'!$E$28+P91*'Расчёт'!$B$124</x:f>
        <x:v>49606705.349529974</x:v>
      </x:c>
      <x:c r="T91" s="3" t="n">
        <x:f>'Расчёт'!$F$28+Q91*'Расчёт'!$B$122+(O91+'Расчёт'!$F$32)*'Расчёт'!$B$123</x:f>
        <x:v>55918669.19763384</x:v>
      </x:c>
    </x:row>
    <x:row r="92">
      <x:c r="A92" s="3" t="n">
        <x:v>5250</x:v>
      </x:c>
      <x:c r="B92" s="3" t="n">
        <x:f>R92-T92</x:f>
        <x:v>16405419.539026335</x:v>
      </x:c>
      <x:c r="C92" s="3" t="n">
        <x:f>S92-T92</x:f>
        <x:v>-5417302.947619349</x:v>
      </x:c>
      <x:c r="D92" s="3" t="str">
        <x:f>IF(AND(B92&gt;=0,B91&lt;0),A91+(A92-A91)*(-B91)/(B92-B91),"")</x:f>
      </x:c>
      <x:c r="E92" s="3" t="str">
        <x:f>IF(AND(C92&gt;=0,C91&lt;0),A91+(A92-A91)*(-C91)/(C92-C91),"")</x:f>
      </x:c>
      <x:c r="F92" s="3" t="n">
        <x:f>MIN(A92*(1-'Параметры'!$B$14)*'Параметры'!$B$15,'Параметры'!$B$23*(1-'Параметры'!$B$24))</x:f>
        <x:v>2350</x:v>
      </x:c>
      <x:c r="G92" s="3" t="n">
        <x:f>F92*'Параметры'!$B$25*'Параметры'!$B$26</x:f>
        <x:v>1298.375</x:v>
      </x:c>
      <x:c r="H92" s="3" t="n">
        <x:f>MAX(0,A92-'Расчёт'!$D$8)</x:f>
        <x:v>1950</x:v>
      </x:c>
      <x:c r="I92" s="3" t="n">
        <x:f>IF('Параметры'!$B$21*'Параметры'!$B$22=0,0,ROUNDUP(H92/('Расчёт'!$D$7*'Параметры'!$B$17*'Параметры'!$B$21*'Параметры'!$B$22),0))</x:f>
        <x:v>5</x:v>
      </x:c>
      <x:c r="J92" s="3" t="n">
        <x:f>MAX(0,H92-I92*'Расчёт'!$D$7*'Параметры'!$B$17*'Параметры'!$B$21*'Параметры'!$B$22)</x:f>
        <x:v>0</x:v>
      </x:c>
      <x:c r="K92" s="3" t="n">
        <x:f>IF('Параметры'!$B$21*'Параметры'!$B$22=0,0,ROUNDUP(MAX(0,A92-G92-'Расчёт'!$F$8)/('Расчёт'!$F$7*'Параметры'!$B$17*'Параметры'!$B$21*'Параметры'!$B$22),0))</x:f>
        <x:v>2</x:v>
      </x:c>
      <x:c r="L92" s="3" t="n">
        <x:f>MAX(0,A92-G92-'Расчёт'!$F$8-K92*'Расчёт'!$F$7*'Параметры'!$B$17*'Параметры'!$B$21*'Параметры'!$B$22)</x:f>
        <x:v>0</x:v>
      </x:c>
      <x:c r="M92" s="3" t="n">
        <x:f>MIN(H92,I92*'Расчёт'!$E$7*'Параметры'!$B$17*'Параметры'!$B$21*'Параметры'!$B$22)</x:f>
        <x:v>1950</x:v>
      </x:c>
      <x:c r="N92" s="3" t="n">
        <x:f>MIN(MAX(0,A92-G92-'Расчёт'!$F$8),K92*'Расчёт'!$F$7*'Параметры'!$B$17*'Параметры'!$B$21*'Параметры'!$B$22)</x:f>
        <x:v>651.625</x:v>
      </x:c>
      <x:c r="O92" s="3" t="n">
        <x:f>'Расчёт'!$D$33+'Расчёт'!$D$34+'Расчёт'!$D$29+(A92*'Параметры'!$B$8+'Расчёт'!$D$6*('Параметры'!$B$9-'Параметры'!$B$8))*'Параметры'!$B$49*'Параметры'!$B$52+(H92*'Параметры'!$B$8+'Расчёт'!$D$20*('Параметры'!$B$9-'Параметры'!$B$8))*'Параметры'!$B$53</x:f>
        <x:v>20987232</x:v>
      </x:c>
      <x:c r="P92" s="3" t="n">
        <x:f>'Расчёт'!$E$33+'Расчёт'!$E$34+'Расчёт'!$E$29+I92*('Параметры'!$B$8*'Параметры'!$B$17*'Параметры'!$B$22*'Параметры'!$B$32+'Параметры'!$B$33+'Параметры'!$B$34*'Параметры'!$B$32+'Параметры'!$B$35)+((A92*'Параметры'!$B$8+'Расчёт'!$E$6*('Параметры'!$B$9-'Параметры'!$B$8))*'Параметры'!$B$49+M92*'Параметры'!$B$8*('Параметры'!$B$50-'Параметры'!$B$49))*'Параметры'!$B$52+(J92*'Параметры'!$B$8+'Расчёт'!$E$20*('Параметры'!$B$9-'Параметры'!$B$8))*'Параметры'!$B$53</x:f>
        <x:v>14630632</x:v>
      </x:c>
      <x:c r="Q92" s="3" t="n">
        <x:f>'Расчёт'!$F$33+'Расчёт'!$F$34+'Расчёт'!$F$29+'Расчёт'!$F$30+'Расчёт'!$F$32+K92*('Параметры'!$B$8*'Параметры'!$B$17*'Параметры'!$B$22*'Параметры'!$B$32+'Параметры'!$B$33+'Параметры'!$B$34*'Параметры'!$B$32+'Параметры'!$B$35)+((A92*'Параметры'!$B$8+'Расчёт'!$F$6*('Параметры'!$B$9-'Параметры'!$B$8))*'Параметры'!$B$49-(F92*'Параметры'!$B$8+'Расчёт'!$F$12*('Параметры'!$B$9-'Параметры'!$B$8))*('Параметры'!$B$49-'Параметры'!$B$51)+N92*'Параметры'!$B$8*('Параметры'!$B$50-'Параметры'!$B$49))*'Параметры'!$B$52+(L92*'Параметры'!$B$8+'Расчёт'!$F$20*('Параметры'!$B$9-'Параметры'!$B$8))*'Параметры'!$B$53</x:f>
        <x:v>14548287</x:v>
      </x:c>
      <x:c r="R92" s="3" t="n">
        <x:f>'Расчёт'!$D$28+O92*'Расчёт'!$B$124</x:f>
        <x:v>72350866.76821727</x:v>
      </x:c>
      <x:c r="S92" s="3" t="n">
        <x:f>'Расчёт'!$E$28+P92*'Расчёт'!$B$124</x:f>
        <x:v>50528144.28157158</x:v>
      </x:c>
      <x:c r="T92" s="3" t="n">
        <x:f>'Расчёт'!$F$28+Q92*'Расчёт'!$B$122+(O92+'Расчёт'!$F$32)*'Расчёт'!$B$123</x:f>
        <x:v>55945447.22919093</x:v>
      </x:c>
    </x:row>
    <x:row r="93">
      <x:c r="A93" s="3" t="n">
        <x:v>5300</x:v>
      </x:c>
      <x:c r="B93" s="3" t="n">
        <x:f>R93-T93</x:f>
        <x:v>17079676.64131014</x:v>
      </x:c>
      <x:c r="C93" s="3" t="n">
        <x:f>S93-T93</x:f>
        <x:v>-5417302.947619349</x:v>
      </x:c>
      <x:c r="D93" s="3" t="str">
        <x:f>IF(AND(B93&gt;=0,B92&lt;0),A92+(A93-A92)*(-B92)/(B93-B92),"")</x:f>
      </x:c>
      <x:c r="E93" s="3" t="str">
        <x:f>IF(AND(C93&gt;=0,C92&lt;0),A92+(A93-A92)*(-C92)/(C93-C92),"")</x:f>
      </x:c>
      <x:c r="F93" s="3" t="n">
        <x:f>MIN(A93*(1-'Параметры'!$B$14)*'Параметры'!$B$15,'Параметры'!$B$23*(1-'Параметры'!$B$24))</x:f>
        <x:v>2350</x:v>
      </x:c>
      <x:c r="G93" s="3" t="n">
        <x:f>F93*'Параметры'!$B$25*'Параметры'!$B$26</x:f>
        <x:v>1298.375</x:v>
      </x:c>
      <x:c r="H93" s="3" t="n">
        <x:f>MAX(0,A93-'Расчёт'!$D$8)</x:f>
        <x:v>2000</x:v>
      </x:c>
      <x:c r="I93" s="3" t="n">
        <x:f>IF('Параметры'!$B$21*'Параметры'!$B$22=0,0,ROUNDUP(H93/('Расчёт'!$D$7*'Параметры'!$B$17*'Параметры'!$B$21*'Параметры'!$B$22),0))</x:f>
        <x:v>5</x:v>
      </x:c>
      <x:c r="J93" s="3" t="n">
        <x:f>MAX(0,H93-I93*'Расчёт'!$D$7*'Параметры'!$B$17*'Параметры'!$B$21*'Параметры'!$B$22)</x:f>
        <x:v>0</x:v>
      </x:c>
      <x:c r="K93" s="3" t="n">
        <x:f>IF('Параметры'!$B$21*'Параметры'!$B$22=0,0,ROUNDUP(MAX(0,A93-G93-'Расчёт'!$F$8)/('Расчёт'!$F$7*'Параметры'!$B$17*'Параметры'!$B$21*'Параметры'!$B$22),0))</x:f>
        <x:v>2</x:v>
      </x:c>
      <x:c r="L93" s="3" t="n">
        <x:f>MAX(0,A93-G93-'Расчёт'!$F$8-K93*'Расчёт'!$F$7*'Параметры'!$B$17*'Параметры'!$B$21*'Параметры'!$B$22)</x:f>
        <x:v>0</x:v>
      </x:c>
      <x:c r="M93" s="3" t="n">
        <x:f>MIN(H93,I93*'Расчёт'!$E$7*'Параметры'!$B$17*'Параметры'!$B$21*'Параметры'!$B$22)</x:f>
        <x:v>2000</x:v>
      </x:c>
      <x:c r="N93" s="3" t="n">
        <x:f>MIN(MAX(0,A93-G93-'Расчёт'!$F$8),K93*'Расчёт'!$F$7*'Параметры'!$B$17*'Параметры'!$B$21*'Параметры'!$B$22)</x:f>
        <x:v>701.625</x:v>
      </x:c>
      <x:c r="O93" s="3" t="n">
        <x:f>'Расчёт'!$D$33+'Расчёт'!$D$34+'Расчёт'!$D$29+(A93*'Параметры'!$B$8+'Расчёт'!$D$6*('Параметры'!$B$9-'Параметры'!$B$8))*'Параметры'!$B$49*'Параметры'!$B$52+(H93*'Параметры'!$B$8+'Расчёт'!$D$20*('Параметры'!$B$9-'Параметры'!$B$8))*'Параметры'!$B$53</x:f>
        <x:v>21191432</x:v>
      </x:c>
      <x:c r="P93" s="3" t="n">
        <x:f>'Расчёт'!$E$33+'Расчёт'!$E$34+'Расчёт'!$E$29+I93*('Параметры'!$B$8*'Параметры'!$B$17*'Параметры'!$B$22*'Параметры'!$B$32+'Параметры'!$B$33+'Параметры'!$B$34*'Параметры'!$B$32+'Параметры'!$B$35)+((A93*'Параметры'!$B$8+'Расчёт'!$E$6*('Параметры'!$B$9-'Параметры'!$B$8))*'Параметры'!$B$49+M93*'Параметры'!$B$8*('Параметры'!$B$50-'Параметры'!$B$49))*'Параметры'!$B$52+(J93*'Параметры'!$B$8+'Расчёт'!$E$20*('Параметры'!$B$9-'Параметры'!$B$8))*'Параметры'!$B$53</x:f>
        <x:v>14638432</x:v>
      </x:c>
      <x:c r="Q93" s="3" t="n">
        <x:f>'Расчёт'!$F$33+'Расчёт'!$F$34+'Расчёт'!$F$29+'Расчёт'!$F$30+'Расчёт'!$F$32+K93*('Параметры'!$B$8*'Параметры'!$B$17*'Параметры'!$B$22*'Параметры'!$B$32+'Параметры'!$B$33+'Параметры'!$B$34*'Параметры'!$B$32+'Параметры'!$B$35)+((A93*'Параметры'!$B$8+'Расчёт'!$F$6*('Параметры'!$B$9-'Параметры'!$B$8))*'Параметры'!$B$49-(F93*'Параметры'!$B$8+'Расчёт'!$F$12*('Параметры'!$B$9-'Параметры'!$B$8))*('Параметры'!$B$49-'Параметры'!$B$51)+N93*'Параметры'!$B$8*('Параметры'!$B$50-'Параметры'!$B$49))*'Параметры'!$B$52+(L93*'Параметры'!$B$8+'Расчёт'!$F$20*('Параметры'!$B$9-'Параметры'!$B$8))*'Параметры'!$B$53</x:f>
        <x:v>14556087</x:v>
      </x:c>
      <x:c r="R93" s="3" t="n">
        <x:f>'Расчёт'!$D$28+O93*'Расчёт'!$B$124</x:f>
        <x:v>73051901.90205817</x:v>
      </x:c>
      <x:c r="S93" s="3" t="n">
        <x:f>'Расчёт'!$E$28+P93*'Расчёт'!$B$124</x:f>
        <x:v>50554922.31312868</x:v>
      </x:c>
      <x:c r="T93" s="3" t="n">
        <x:f>'Расчёт'!$F$28+Q93*'Расчёт'!$B$122+(O93+'Расчёт'!$F$32)*'Расчёт'!$B$123</x:f>
        <x:v>55972225.26074803</x:v>
      </x:c>
    </x:row>
    <x:row r="94">
      <x:c r="A94" s="3" t="n">
        <x:v>5350</x:v>
      </x:c>
      <x:c r="B94" s="3" t="n">
        <x:f>R94-T94</x:f>
        <x:v>17753933.74359393</x:v>
      </x:c>
      <x:c r="C94" s="3" t="n">
        <x:f>S94-T94</x:f>
        <x:v>-5417302.947619349</x:v>
      </x:c>
      <x:c r="D94" s="3" t="str">
        <x:f>IF(AND(B94&gt;=0,B93&lt;0),A93+(A94-A93)*(-B93)/(B94-B93),"")</x:f>
      </x:c>
      <x:c r="E94" s="3" t="str">
        <x:f>IF(AND(C94&gt;=0,C93&lt;0),A93+(A94-A93)*(-C93)/(C94-C93),"")</x:f>
      </x:c>
      <x:c r="F94" s="3" t="n">
        <x:f>MIN(A94*(1-'Параметры'!$B$14)*'Параметры'!$B$15,'Параметры'!$B$23*(1-'Параметры'!$B$24))</x:f>
        <x:v>2350</x:v>
      </x:c>
      <x:c r="G94" s="3" t="n">
        <x:f>F94*'Параметры'!$B$25*'Параметры'!$B$26</x:f>
        <x:v>1298.375</x:v>
      </x:c>
      <x:c r="H94" s="3" t="n">
        <x:f>MAX(0,A94-'Расчёт'!$D$8)</x:f>
        <x:v>2050</x:v>
      </x:c>
      <x:c r="I94" s="3" t="n">
        <x:f>IF('Параметры'!$B$21*'Параметры'!$B$22=0,0,ROUNDUP(H94/('Расчёт'!$D$7*'Параметры'!$B$17*'Параметры'!$B$21*'Параметры'!$B$22),0))</x:f>
        <x:v>5</x:v>
      </x:c>
      <x:c r="J94" s="3" t="n">
        <x:f>MAX(0,H94-I94*'Расчёт'!$D$7*'Параметры'!$B$17*'Параметры'!$B$21*'Параметры'!$B$22)</x:f>
        <x:v>0</x:v>
      </x:c>
      <x:c r="K94" s="3" t="n">
        <x:f>IF('Параметры'!$B$21*'Параметры'!$B$22=0,0,ROUNDUP(MAX(0,A94-G94-'Расчёт'!$F$8)/('Расчёт'!$F$7*'Параметры'!$B$17*'Параметры'!$B$21*'Параметры'!$B$22),0))</x:f>
        <x:v>2</x:v>
      </x:c>
      <x:c r="L94" s="3" t="n">
        <x:f>MAX(0,A94-G94-'Расчёт'!$F$8-K94*'Расчёт'!$F$7*'Параметры'!$B$17*'Параметры'!$B$21*'Параметры'!$B$22)</x:f>
        <x:v>0</x:v>
      </x:c>
      <x:c r="M94" s="3" t="n">
        <x:f>MIN(H94,I94*'Расчёт'!$E$7*'Параметры'!$B$17*'Параметры'!$B$21*'Параметры'!$B$22)</x:f>
        <x:v>2050</x:v>
      </x:c>
      <x:c r="N94" s="3" t="n">
        <x:f>MIN(MAX(0,A94-G94-'Расчёт'!$F$8),K94*'Расчёт'!$F$7*'Параметры'!$B$17*'Параметры'!$B$21*'Параметры'!$B$22)</x:f>
        <x:v>751.625</x:v>
      </x:c>
      <x:c r="O94" s="3" t="n">
        <x:f>'Расчёт'!$D$33+'Расчёт'!$D$34+'Расчёт'!$D$29+(A94*'Параметры'!$B$8+'Расчёт'!$D$6*('Параметры'!$B$9-'Параметры'!$B$8))*'Параметры'!$B$49*'Параметры'!$B$52+(H94*'Параметры'!$B$8+'Расчёт'!$D$20*('Параметры'!$B$9-'Параметры'!$B$8))*'Параметры'!$B$53</x:f>
        <x:v>21395632</x:v>
      </x:c>
      <x:c r="P94" s="3" t="n">
        <x:f>'Расчёт'!$E$33+'Расчёт'!$E$34+'Расчёт'!$E$29+I94*('Параметры'!$B$8*'Параметры'!$B$17*'Параметры'!$B$22*'Параметры'!$B$32+'Параметры'!$B$33+'Параметры'!$B$34*'Параметры'!$B$32+'Параметры'!$B$35)+((A94*'Параметры'!$B$8+'Расчёт'!$E$6*('Параметры'!$B$9-'Параметры'!$B$8))*'Параметры'!$B$49+M94*'Параметры'!$B$8*('Параметры'!$B$50-'Параметры'!$B$49))*'Параметры'!$B$52+(J94*'Параметры'!$B$8+'Расчёт'!$E$20*('Параметры'!$B$9-'Параметры'!$B$8))*'Параметры'!$B$53</x:f>
        <x:v>14646232</x:v>
      </x:c>
      <x:c r="Q94" s="3" t="n">
        <x:f>'Расчёт'!$F$33+'Расчёт'!$F$34+'Расчёт'!$F$29+'Расчёт'!$F$30+'Расчёт'!$F$32+K94*('Параметры'!$B$8*'Параметры'!$B$17*'Параметры'!$B$22*'Параметры'!$B$32+'Параметры'!$B$33+'Параметры'!$B$34*'Параметры'!$B$32+'Параметры'!$B$35)+((A94*'Параметры'!$B$8+'Расчёт'!$F$6*('Параметры'!$B$9-'Параметры'!$B$8))*'Параметры'!$B$49-(F94*'Параметры'!$B$8+'Расчёт'!$F$12*('Параметры'!$B$9-'Параметры'!$B$8))*('Параметры'!$B$49-'Параметры'!$B$51)+N94*'Параметры'!$B$8*('Параметры'!$B$50-'Параметры'!$B$49))*'Параметры'!$B$52+(L94*'Параметры'!$B$8+'Расчёт'!$F$20*('Параметры'!$B$9-'Параметры'!$B$8))*'Параметры'!$B$53</x:f>
        <x:v>14563887</x:v>
      </x:c>
      <x:c r="R94" s="3" t="n">
        <x:f>'Расчёт'!$D$28+O94*'Расчёт'!$B$124</x:f>
        <x:v>73752937.03589906</x:v>
      </x:c>
      <x:c r="S94" s="3" t="n">
        <x:f>'Расчёт'!$E$28+P94*'Расчёт'!$B$124</x:f>
        <x:v>50581700.34468578</x:v>
      </x:c>
      <x:c r="T94" s="3" t="n">
        <x:f>'Расчёт'!$F$28+Q94*'Расчёт'!$B$122+(O94+'Расчёт'!$F$32)*'Расчёт'!$B$123</x:f>
        <x:v>55999003.29230513</x:v>
      </x:c>
    </x:row>
    <x:row r="95">
      <x:c r="A95" s="3" t="n">
        <x:v>5400</x:v>
      </x:c>
      <x:c r="B95" s="3" t="n">
        <x:f>R95-T95</x:f>
        <x:v>18428190.845877744</x:v>
      </x:c>
      <x:c r="C95" s="3" t="n">
        <x:f>S95-T95</x:f>
        <x:v>-5417302.947619349</x:v>
      </x:c>
      <x:c r="D95" s="3" t="str">
        <x:f>IF(AND(B95&gt;=0,B94&lt;0),A94+(A95-A94)*(-B94)/(B95-B94),"")</x:f>
      </x:c>
      <x:c r="E95" s="3" t="str">
        <x:f>IF(AND(C95&gt;=0,C94&lt;0),A94+(A95-A94)*(-C94)/(C95-C94),"")</x:f>
      </x:c>
      <x:c r="F95" s="3" t="n">
        <x:f>MIN(A95*(1-'Параметры'!$B$14)*'Параметры'!$B$15,'Параметры'!$B$23*(1-'Параметры'!$B$24))</x:f>
        <x:v>2350</x:v>
      </x:c>
      <x:c r="G95" s="3" t="n">
        <x:f>F95*'Параметры'!$B$25*'Параметры'!$B$26</x:f>
        <x:v>1298.375</x:v>
      </x:c>
      <x:c r="H95" s="3" t="n">
        <x:f>MAX(0,A95-'Расчёт'!$D$8)</x:f>
        <x:v>2100</x:v>
      </x:c>
      <x:c r="I95" s="3" t="n">
        <x:f>IF('Параметры'!$B$21*'Параметры'!$B$22=0,0,ROUNDUP(H95/('Расчёт'!$D$7*'Параметры'!$B$17*'Параметры'!$B$21*'Параметры'!$B$22),0))</x:f>
        <x:v>5</x:v>
      </x:c>
      <x:c r="J95" s="3" t="n">
        <x:f>MAX(0,H95-I95*'Расчёт'!$D$7*'Параметры'!$B$17*'Параметры'!$B$21*'Параметры'!$B$22)</x:f>
        <x:v>0</x:v>
      </x:c>
      <x:c r="K95" s="3" t="n">
        <x:f>IF('Параметры'!$B$21*'Параметры'!$B$22=0,0,ROUNDUP(MAX(0,A95-G95-'Расчёт'!$F$8)/('Расчёт'!$F$7*'Параметры'!$B$17*'Параметры'!$B$21*'Параметры'!$B$22),0))</x:f>
        <x:v>2</x:v>
      </x:c>
      <x:c r="L95" s="3" t="n">
        <x:f>MAX(0,A95-G95-'Расчёт'!$F$8-K95*'Расчёт'!$F$7*'Параметры'!$B$17*'Параметры'!$B$21*'Параметры'!$B$22)</x:f>
        <x:v>0</x:v>
      </x:c>
      <x:c r="M95" s="3" t="n">
        <x:f>MIN(H95,I95*'Расчёт'!$E$7*'Параметры'!$B$17*'Параметры'!$B$21*'Параметры'!$B$22)</x:f>
        <x:v>2100</x:v>
      </x:c>
      <x:c r="N95" s="3" t="n">
        <x:f>MIN(MAX(0,A95-G95-'Расчёт'!$F$8),K95*'Расчёт'!$F$7*'Параметры'!$B$17*'Параметры'!$B$21*'Параметры'!$B$22)</x:f>
        <x:v>801.625</x:v>
      </x:c>
      <x:c r="O95" s="3" t="n">
        <x:f>'Расчёт'!$D$33+'Расчёт'!$D$34+'Расчёт'!$D$29+(A95*'Параметры'!$B$8+'Расчёт'!$D$6*('Параметры'!$B$9-'Параметры'!$B$8))*'Параметры'!$B$49*'Параметры'!$B$52+(H95*'Параметры'!$B$8+'Расчёт'!$D$20*('Параметры'!$B$9-'Параметры'!$B$8))*'Параметры'!$B$53</x:f>
        <x:v>21599832</x:v>
      </x:c>
      <x:c r="P95" s="3" t="n">
        <x:f>'Расчёт'!$E$33+'Расчёт'!$E$34+'Расчёт'!$E$29+I95*('Параметры'!$B$8*'Параметры'!$B$17*'Параметры'!$B$22*'Параметры'!$B$32+'Параметры'!$B$33+'Параметры'!$B$34*'Параметры'!$B$32+'Параметры'!$B$35)+((A95*'Параметры'!$B$8+'Расчёт'!$E$6*('Параметры'!$B$9-'Параметры'!$B$8))*'Параметры'!$B$49+M95*'Параметры'!$B$8*('Параметры'!$B$50-'Параметры'!$B$49))*'Параметры'!$B$52+(J95*'Параметры'!$B$8+'Расчёт'!$E$20*('Параметры'!$B$9-'Параметры'!$B$8))*'Параметры'!$B$53</x:f>
        <x:v>14654032</x:v>
      </x:c>
      <x:c r="Q95" s="3" t="n">
        <x:f>'Расчёт'!$F$33+'Расчёт'!$F$34+'Расчёт'!$F$29+'Расчёт'!$F$30+'Расчёт'!$F$32+K95*('Параметры'!$B$8*'Параметры'!$B$17*'Параметры'!$B$22*'Параметры'!$B$32+'Параметры'!$B$33+'Параметры'!$B$34*'Параметры'!$B$32+'Параметры'!$B$35)+((A95*'Параметры'!$B$8+'Расчёт'!$F$6*('Параметры'!$B$9-'Параметры'!$B$8))*'Параметры'!$B$49-(F95*'Параметры'!$B$8+'Расчёт'!$F$12*('Параметры'!$B$9-'Параметры'!$B$8))*('Параметры'!$B$49-'Параметры'!$B$51)+N95*'Параметры'!$B$8*('Параметры'!$B$50-'Параметры'!$B$49))*'Параметры'!$B$52+(L95*'Параметры'!$B$8+'Расчёт'!$F$20*('Параметры'!$B$9-'Параметры'!$B$8))*'Параметры'!$B$53</x:f>
        <x:v>14571687</x:v>
      </x:c>
      <x:c r="R95" s="3" t="n">
        <x:f>'Расчёт'!$D$28+O95*'Расчёт'!$B$124</x:f>
        <x:v>74453972.16973996</x:v>
      </x:c>
      <x:c r="S95" s="3" t="n">
        <x:f>'Расчёт'!$E$28+P95*'Расчёт'!$B$124</x:f>
        <x:v>50608478.37624287</x:v>
      </x:c>
      <x:c r="T95" s="3" t="n">
        <x:f>'Расчёт'!$F$28+Q95*'Расчёт'!$B$122+(O95+'Расчёт'!$F$32)*'Расчёт'!$B$123</x:f>
        <x:v>56025781.32386222</x:v>
      </x:c>
    </x:row>
    <x:row r="96">
      <x:c r="A96" s="3" t="n">
        <x:v>5450</x:v>
      </x:c>
      <x:c r="B96" s="3" t="n">
        <x:f>R96-T96</x:f>
        <x:v>19102447.948161535</x:v>
      </x:c>
      <x:c r="C96" s="3" t="n">
        <x:f>S96-T96</x:f>
        <x:v>-5417302.947619349</x:v>
      </x:c>
      <x:c r="D96" s="3" t="str">
        <x:f>IF(AND(B96&gt;=0,B95&lt;0),A95+(A96-A95)*(-B95)/(B96-B95),"")</x:f>
      </x:c>
      <x:c r="E96" s="3" t="str">
        <x:f>IF(AND(C96&gt;=0,C95&lt;0),A95+(A96-A95)*(-C95)/(C96-C95),"")</x:f>
      </x:c>
      <x:c r="F96" s="3" t="n">
        <x:f>MIN(A96*(1-'Параметры'!$B$14)*'Параметры'!$B$15,'Параметры'!$B$23*(1-'Параметры'!$B$24))</x:f>
        <x:v>2350</x:v>
      </x:c>
      <x:c r="G96" s="3" t="n">
        <x:f>F96*'Параметры'!$B$25*'Параметры'!$B$26</x:f>
        <x:v>1298.375</x:v>
      </x:c>
      <x:c r="H96" s="3" t="n">
        <x:f>MAX(0,A96-'Расчёт'!$D$8)</x:f>
        <x:v>2150</x:v>
      </x:c>
      <x:c r="I96" s="3" t="n">
        <x:f>IF('Параметры'!$B$21*'Параметры'!$B$22=0,0,ROUNDUP(H96/('Расчёт'!$D$7*'Параметры'!$B$17*'Параметры'!$B$21*'Параметры'!$B$22),0))</x:f>
        <x:v>5</x:v>
      </x:c>
      <x:c r="J96" s="3" t="n">
        <x:f>MAX(0,H96-I96*'Расчёт'!$D$7*'Параметры'!$B$17*'Параметры'!$B$21*'Параметры'!$B$22)</x:f>
        <x:v>0</x:v>
      </x:c>
      <x:c r="K96" s="3" t="n">
        <x:f>IF('Параметры'!$B$21*'Параметры'!$B$22=0,0,ROUNDUP(MAX(0,A96-G96-'Расчёт'!$F$8)/('Расчёт'!$F$7*'Параметры'!$B$17*'Параметры'!$B$21*'Параметры'!$B$22),0))</x:f>
        <x:v>2</x:v>
      </x:c>
      <x:c r="L96" s="3" t="n">
        <x:f>MAX(0,A96-G96-'Расчёт'!$F$8-K96*'Расчёт'!$F$7*'Параметры'!$B$17*'Параметры'!$B$21*'Параметры'!$B$22)</x:f>
        <x:v>0</x:v>
      </x:c>
      <x:c r="M96" s="3" t="n">
        <x:f>MIN(H96,I96*'Расчёт'!$E$7*'Параметры'!$B$17*'Параметры'!$B$21*'Параметры'!$B$22)</x:f>
        <x:v>2150</x:v>
      </x:c>
      <x:c r="N96" s="3" t="n">
        <x:f>MIN(MAX(0,A96-G96-'Расчёт'!$F$8),K96*'Расчёт'!$F$7*'Параметры'!$B$17*'Параметры'!$B$21*'Параметры'!$B$22)</x:f>
        <x:v>851.625</x:v>
      </x:c>
      <x:c r="O96" s="3" t="n">
        <x:f>'Расчёт'!$D$33+'Расчёт'!$D$34+'Расчёт'!$D$29+(A96*'Параметры'!$B$8+'Расчёт'!$D$6*('Параметры'!$B$9-'Параметры'!$B$8))*'Параметры'!$B$49*'Параметры'!$B$52+(H96*'Параметры'!$B$8+'Расчёт'!$D$20*('Параметры'!$B$9-'Параметры'!$B$8))*'Параметры'!$B$53</x:f>
        <x:v>21804032</x:v>
      </x:c>
      <x:c r="P96" s="3" t="n">
        <x:f>'Расчёт'!$E$33+'Расчёт'!$E$34+'Расчёт'!$E$29+I96*('Параметры'!$B$8*'Параметры'!$B$17*'Параметры'!$B$22*'Параметры'!$B$32+'Параметры'!$B$33+'Параметры'!$B$34*'Параметры'!$B$32+'Параметры'!$B$35)+((A96*'Параметры'!$B$8+'Расчёт'!$E$6*('Параметры'!$B$9-'Параметры'!$B$8))*'Параметры'!$B$49+M96*'Параметры'!$B$8*('Параметры'!$B$50-'Параметры'!$B$49))*'Параметры'!$B$52+(J96*'Параметры'!$B$8+'Расчёт'!$E$20*('Параметры'!$B$9-'Параметры'!$B$8))*'Параметры'!$B$53</x:f>
        <x:v>14661832</x:v>
      </x:c>
      <x:c r="Q96" s="3" t="n">
        <x:f>'Расчёт'!$F$33+'Расчёт'!$F$34+'Расчёт'!$F$29+'Расчёт'!$F$30+'Расчёт'!$F$32+K96*('Параметры'!$B$8*'Параметры'!$B$17*'Параметры'!$B$22*'Параметры'!$B$32+'Параметры'!$B$33+'Параметры'!$B$34*'Параметры'!$B$32+'Параметры'!$B$35)+((A96*'Параметры'!$B$8+'Расчёт'!$F$6*('Параметры'!$B$9-'Параметры'!$B$8))*'Параметры'!$B$49-(F96*'Параметры'!$B$8+'Расчёт'!$F$12*('Параметры'!$B$9-'Параметры'!$B$8))*('Параметры'!$B$49-'Параметры'!$B$51)+N96*'Параметры'!$B$8*('Параметры'!$B$50-'Параметры'!$B$49))*'Параметры'!$B$52+(L96*'Параметры'!$B$8+'Расчёт'!$F$20*('Параметры'!$B$9-'Параметры'!$B$8))*'Параметры'!$B$53</x:f>
        <x:v>14579487</x:v>
      </x:c>
      <x:c r="R96" s="3" t="n">
        <x:f>'Расчёт'!$D$28+O96*'Расчёт'!$B$124</x:f>
        <x:v>75155007.30358085</x:v>
      </x:c>
      <x:c r="S96" s="3" t="n">
        <x:f>'Расчёт'!$E$28+P96*'Расчёт'!$B$124</x:f>
        <x:v>50635256.40779997</x:v>
      </x:c>
      <x:c r="T96" s="3" t="n">
        <x:f>'Расчёт'!$F$28+Q96*'Расчёт'!$B$122+(O96+'Расчёт'!$F$32)*'Расчёт'!$B$123</x:f>
        <x:v>56052559.355419315</x:v>
      </x:c>
    </x:row>
    <x:row r="97">
      <x:c r="A97" s="3" t="n">
        <x:v>5500</x:v>
      </x:c>
      <x:c r="B97" s="3" t="n">
        <x:f>R97-T97</x:f>
        <x:v>19776705.05044534</x:v>
      </x:c>
      <x:c r="C97" s="3" t="n">
        <x:f>S97-T97</x:f>
        <x:v>-5417302.947619349</x:v>
      </x:c>
      <x:c r="D97" s="3" t="str">
        <x:f>IF(AND(B97&gt;=0,B96&lt;0),A96+(A97-A96)*(-B96)/(B97-B96),"")</x:f>
      </x:c>
      <x:c r="E97" s="3" t="str">
        <x:f>IF(AND(C97&gt;=0,C96&lt;0),A96+(A97-A96)*(-C96)/(C97-C96),"")</x:f>
      </x:c>
      <x:c r="F97" s="3" t="n">
        <x:f>MIN(A97*(1-'Параметры'!$B$14)*'Параметры'!$B$15,'Параметры'!$B$23*(1-'Параметры'!$B$24))</x:f>
        <x:v>2350</x:v>
      </x:c>
      <x:c r="G97" s="3" t="n">
        <x:f>F97*'Параметры'!$B$25*'Параметры'!$B$26</x:f>
        <x:v>1298.375</x:v>
      </x:c>
      <x:c r="H97" s="3" t="n">
        <x:f>MAX(0,A97-'Расчёт'!$D$8)</x:f>
        <x:v>2200</x:v>
      </x:c>
      <x:c r="I97" s="3" t="n">
        <x:f>IF('Параметры'!$B$21*'Параметры'!$B$22=0,0,ROUNDUP(H97/('Расчёт'!$D$7*'Параметры'!$B$17*'Параметры'!$B$21*'Параметры'!$B$22),0))</x:f>
        <x:v>5</x:v>
      </x:c>
      <x:c r="J97" s="3" t="n">
        <x:f>MAX(0,H97-I97*'Расчёт'!$D$7*'Параметры'!$B$17*'Параметры'!$B$21*'Параметры'!$B$22)</x:f>
        <x:v>0</x:v>
      </x:c>
      <x:c r="K97" s="3" t="n">
        <x:f>IF('Параметры'!$B$21*'Параметры'!$B$22=0,0,ROUNDUP(MAX(0,A97-G97-'Расчёт'!$F$8)/('Расчёт'!$F$7*'Параметры'!$B$17*'Параметры'!$B$21*'Параметры'!$B$22),0))</x:f>
        <x:v>2</x:v>
      </x:c>
      <x:c r="L97" s="3" t="n">
        <x:f>MAX(0,A97-G97-'Расчёт'!$F$8-K97*'Расчёт'!$F$7*'Параметры'!$B$17*'Параметры'!$B$21*'Параметры'!$B$22)</x:f>
        <x:v>0</x:v>
      </x:c>
      <x:c r="M97" s="3" t="n">
        <x:f>MIN(H97,I97*'Расчёт'!$E$7*'Параметры'!$B$17*'Параметры'!$B$21*'Параметры'!$B$22)</x:f>
        <x:v>2200</x:v>
      </x:c>
      <x:c r="N97" s="3" t="n">
        <x:f>MIN(MAX(0,A97-G97-'Расчёт'!$F$8),K97*'Расчёт'!$F$7*'Параметры'!$B$17*'Параметры'!$B$21*'Параметры'!$B$22)</x:f>
        <x:v>901.625</x:v>
      </x:c>
      <x:c r="O97" s="3" t="n">
        <x:f>'Расчёт'!$D$33+'Расчёт'!$D$34+'Расчёт'!$D$29+(A97*'Параметры'!$B$8+'Расчёт'!$D$6*('Параметры'!$B$9-'Параметры'!$B$8))*'Параметры'!$B$49*'Параметры'!$B$52+(H97*'Параметры'!$B$8+'Расчёт'!$D$20*('Параметры'!$B$9-'Параметры'!$B$8))*'Параметры'!$B$53</x:f>
        <x:v>22008232</x:v>
      </x:c>
      <x:c r="P97" s="3" t="n">
        <x:f>'Расчёт'!$E$33+'Расчёт'!$E$34+'Расчёт'!$E$29+I97*('Параметры'!$B$8*'Параметры'!$B$17*'Параметры'!$B$22*'Параметры'!$B$32+'Параметры'!$B$33+'Параметры'!$B$34*'Параметры'!$B$32+'Параметры'!$B$35)+((A97*'Параметры'!$B$8+'Расчёт'!$E$6*('Параметры'!$B$9-'Параметры'!$B$8))*'Параметры'!$B$49+M97*'Параметры'!$B$8*('Параметры'!$B$50-'Параметры'!$B$49))*'Параметры'!$B$52+(J97*'Параметры'!$B$8+'Расчёт'!$E$20*('Параметры'!$B$9-'Параметры'!$B$8))*'Параметры'!$B$53</x:f>
        <x:v>14669632</x:v>
      </x:c>
      <x:c r="Q97" s="3" t="n">
        <x:f>'Расчёт'!$F$33+'Расчёт'!$F$34+'Расчёт'!$F$29+'Расчёт'!$F$30+'Расчёт'!$F$32+K97*('Параметры'!$B$8*'Параметры'!$B$17*'Параметры'!$B$22*'Параметры'!$B$32+'Параметры'!$B$33+'Параметры'!$B$34*'Параметры'!$B$32+'Параметры'!$B$35)+((A97*'Параметры'!$B$8+'Расчёт'!$F$6*('Параметры'!$B$9-'Параметры'!$B$8))*'Параметры'!$B$49-(F97*'Параметры'!$B$8+'Расчёт'!$F$12*('Параметры'!$B$9-'Параметры'!$B$8))*('Параметры'!$B$49-'Параметры'!$B$51)+N97*'Параметры'!$B$8*('Параметры'!$B$50-'Параметры'!$B$49))*'Параметры'!$B$52+(L97*'Параметры'!$B$8+'Расчёт'!$F$20*('Параметры'!$B$9-'Параметры'!$B$8))*'Параметры'!$B$53</x:f>
        <x:v>14587287</x:v>
      </x:c>
      <x:c r="R97" s="3" t="n">
        <x:f>'Расчёт'!$D$28+O97*'Расчёт'!$B$124</x:f>
        <x:v>75856042.43742175</x:v>
      </x:c>
      <x:c r="S97" s="3" t="n">
        <x:f>'Расчёт'!$E$28+P97*'Расчёт'!$B$124</x:f>
        <x:v>50662034.439357065</x:v>
      </x:c>
      <x:c r="T97" s="3" t="n">
        <x:f>'Расчёт'!$F$28+Q97*'Расчёт'!$B$122+(O97+'Расчёт'!$F$32)*'Расчёт'!$B$123</x:f>
        <x:v>56079337.38697641</x:v>
      </x:c>
    </x:row>
    <x:row r="98">
      <x:c r="A98" s="3" t="n">
        <x:v>5550</x:v>
      </x:c>
      <x:c r="B98" s="3" t="n">
        <x:f>R98-T98</x:f>
        <x:v>19556301.252244636</x:v>
      </x:c>
      <x:c r="C98" s="3" t="n">
        <x:f>S98-T98</x:f>
        <x:v>-6311963.848103866</x:v>
      </x:c>
      <x:c r="D98" s="3" t="str">
        <x:f>IF(AND(B98&gt;=0,B97&lt;0),A97+(A98-A97)*(-B97)/(B98-B97),"")</x:f>
      </x:c>
      <x:c r="E98" s="3" t="str">
        <x:f>IF(AND(C98&gt;=0,C97&lt;0),A97+(A98-A97)*(-C97)/(C98-C97),"")</x:f>
      </x:c>
      <x:c r="F98" s="3" t="n">
        <x:f>MIN(A98*(1-'Параметры'!$B$14)*'Параметры'!$B$15,'Параметры'!$B$23*(1-'Параметры'!$B$24))</x:f>
        <x:v>2350</x:v>
      </x:c>
      <x:c r="G98" s="3" t="n">
        <x:f>F98*'Параметры'!$B$25*'Параметры'!$B$26</x:f>
        <x:v>1298.375</x:v>
      </x:c>
      <x:c r="H98" s="3" t="n">
        <x:f>MAX(0,A98-'Расчёт'!$D$8)</x:f>
        <x:v>2250</x:v>
      </x:c>
      <x:c r="I98" s="3" t="n">
        <x:f>IF('Параметры'!$B$21*'Параметры'!$B$22=0,0,ROUNDUP(H98/('Расчёт'!$D$7*'Параметры'!$B$17*'Параметры'!$B$21*'Параметры'!$B$22),0))</x:f>
        <x:v>5</x:v>
      </x:c>
      <x:c r="J98" s="3" t="n">
        <x:f>MAX(0,H98-I98*'Расчёт'!$D$7*'Параметры'!$B$17*'Параметры'!$B$21*'Параметры'!$B$22)</x:f>
        <x:v>0</x:v>
      </x:c>
      <x:c r="K98" s="3" t="n">
        <x:f>IF('Параметры'!$B$21*'Параметры'!$B$22=0,0,ROUNDUP(MAX(0,A98-G98-'Расчёт'!$F$8)/('Расчёт'!$F$7*'Параметры'!$B$17*'Параметры'!$B$21*'Параметры'!$B$22),0))</x:f>
        <x:v>3</x:v>
      </x:c>
      <x:c r="L98" s="3" t="n">
        <x:f>MAX(0,A98-G98-'Расчёт'!$F$8-K98*'Расчёт'!$F$7*'Параметры'!$B$17*'Параметры'!$B$21*'Параметры'!$B$22)</x:f>
        <x:v>0</x:v>
      </x:c>
      <x:c r="M98" s="3" t="n">
        <x:f>MIN(H98,I98*'Расчёт'!$E$7*'Параметры'!$B$17*'Параметры'!$B$21*'Параметры'!$B$22)</x:f>
        <x:v>2250</x:v>
      </x:c>
      <x:c r="N98" s="3" t="n">
        <x:f>MIN(MAX(0,A98-G98-'Расчёт'!$F$8),K98*'Расчёт'!$F$7*'Параметры'!$B$17*'Параметры'!$B$21*'Параметры'!$B$22)</x:f>
        <x:v>951.625</x:v>
      </x:c>
      <x:c r="O98" s="3" t="n">
        <x:f>'Расчёт'!$D$33+'Расчёт'!$D$34+'Расчёт'!$D$29+(A98*'Параметры'!$B$8+'Расчёт'!$D$6*('Параметры'!$B$9-'Параметры'!$B$8))*'Параметры'!$B$49*'Параметры'!$B$52+(H98*'Параметры'!$B$8+'Расчёт'!$D$20*('Параметры'!$B$9-'Параметры'!$B$8))*'Параметры'!$B$53</x:f>
        <x:v>22212432</x:v>
      </x:c>
      <x:c r="P98" s="3" t="n">
        <x:f>'Расчёт'!$E$33+'Расчёт'!$E$34+'Расчёт'!$E$29+I98*('Параметры'!$B$8*'Параметры'!$B$17*'Параметры'!$B$22*'Параметры'!$B$32+'Параметры'!$B$33+'Параметры'!$B$34*'Параметры'!$B$32+'Параметры'!$B$35)+((A98*'Параметры'!$B$8+'Расчёт'!$E$6*('Параметры'!$B$9-'Параметры'!$B$8))*'Параметры'!$B$49+M98*'Параметры'!$B$8*('Параметры'!$B$50-'Параметры'!$B$49))*'Параметры'!$B$52+(J98*'Параметры'!$B$8+'Расчёт'!$E$20*('Параметры'!$B$9-'Параметры'!$B$8))*'Параметры'!$B$53</x:f>
        <x:v>14677432</x:v>
      </x:c>
      <x:c r="Q98" s="3" t="n">
        <x:f>'Расчёт'!$F$33+'Расчёт'!$F$34+'Расчёт'!$F$29+'Расчёт'!$F$30+'Расчёт'!$F$32+K98*('Параметры'!$B$8*'Параметры'!$B$17*'Параметры'!$B$22*'Параметры'!$B$32+'Параметры'!$B$33+'Параметры'!$B$34*'Параметры'!$B$32+'Параметры'!$B$35)+((A98*'Параметры'!$B$8+'Расчёт'!$F$6*('Параметры'!$B$9-'Параметры'!$B$8))*'Параметры'!$B$49-(F98*'Параметры'!$B$8+'Расчёт'!$F$12*('Параметры'!$B$9-'Параметры'!$B$8))*('Параметры'!$B$49-'Параметры'!$B$51)+N98*'Параметры'!$B$8*('Параметры'!$B$50-'Параметры'!$B$49))*'Параметры'!$B$52+(L98*'Параметры'!$B$8+'Расчёт'!$F$20*('Параметры'!$B$9-'Параметры'!$B$8))*'Параметры'!$B$53</x:f>
        <x:v>14855687</x:v>
      </x:c>
      <x:c r="R98" s="3" t="n">
        <x:f>'Расчёт'!$D$28+O98*'Расчёт'!$B$124</x:f>
        <x:v>76557077.57126266</x:v>
      </x:c>
      <x:c r="S98" s="3" t="n">
        <x:f>'Расчёт'!$E$28+P98*'Расчёт'!$B$124</x:f>
        <x:v>50688812.470914155</x:v>
      </x:c>
      <x:c r="T98" s="3" t="n">
        <x:f>'Расчёт'!$F$28+Q98*'Расчёт'!$B$122+(O98+'Расчёт'!$F$32)*'Расчёт'!$B$123</x:f>
        <x:v>57000776.31901802</x:v>
      </x:c>
    </x:row>
    <x:row r="99">
      <x:c r="A99" s="3" t="n">
        <x:v>5600</x:v>
      </x:c>
      <x:c r="B99" s="3" t="n">
        <x:f>R99-T99</x:f>
        <x:v>20230558.354528427</x:v>
      </x:c>
      <x:c r="C99" s="3" t="n">
        <x:f>S99-T99</x:f>
        <x:v>-6311963.848103866</x:v>
      </x:c>
      <x:c r="D99" s="3" t="str">
        <x:f>IF(AND(B99&gt;=0,B98&lt;0),A98+(A99-A98)*(-B98)/(B99-B98),"")</x:f>
      </x:c>
      <x:c r="E99" s="3" t="str">
        <x:f>IF(AND(C99&gt;=0,C98&lt;0),A98+(A99-A98)*(-C98)/(C99-C98),"")</x:f>
      </x:c>
      <x:c r="F99" s="3" t="n">
        <x:f>MIN(A99*(1-'Параметры'!$B$14)*'Параметры'!$B$15,'Параметры'!$B$23*(1-'Параметры'!$B$24))</x:f>
        <x:v>2350</x:v>
      </x:c>
      <x:c r="G99" s="3" t="n">
        <x:f>F99*'Параметры'!$B$25*'Параметры'!$B$26</x:f>
        <x:v>1298.375</x:v>
      </x:c>
      <x:c r="H99" s="3" t="n">
        <x:f>MAX(0,A99-'Расчёт'!$D$8)</x:f>
        <x:v>2300</x:v>
      </x:c>
      <x:c r="I99" s="3" t="n">
        <x:f>IF('Параметры'!$B$21*'Параметры'!$B$22=0,0,ROUNDUP(H99/('Расчёт'!$D$7*'Параметры'!$B$17*'Параметры'!$B$21*'Параметры'!$B$22),0))</x:f>
        <x:v>5</x:v>
      </x:c>
      <x:c r="J99" s="3" t="n">
        <x:f>MAX(0,H99-I99*'Расчёт'!$D$7*'Параметры'!$B$17*'Параметры'!$B$21*'Параметры'!$B$22)</x:f>
        <x:v>0</x:v>
      </x:c>
      <x:c r="K99" s="3" t="n">
        <x:f>IF('Параметры'!$B$21*'Параметры'!$B$22=0,0,ROUNDUP(MAX(0,A99-G99-'Расчёт'!$F$8)/('Расчёт'!$F$7*'Параметры'!$B$17*'Параметры'!$B$21*'Параметры'!$B$22),0))</x:f>
        <x:v>3</x:v>
      </x:c>
      <x:c r="L99" s="3" t="n">
        <x:f>MAX(0,A99-G99-'Расчёт'!$F$8-K99*'Расчёт'!$F$7*'Параметры'!$B$17*'Параметры'!$B$21*'Параметры'!$B$22)</x:f>
        <x:v>0</x:v>
      </x:c>
      <x:c r="M99" s="3" t="n">
        <x:f>MIN(H99,I99*'Расчёт'!$E$7*'Параметры'!$B$17*'Параметры'!$B$21*'Параметры'!$B$22)</x:f>
        <x:v>2300</x:v>
      </x:c>
      <x:c r="N99" s="3" t="n">
        <x:f>MIN(MAX(0,A99-G99-'Расчёт'!$F$8),K99*'Расчёт'!$F$7*'Параметры'!$B$17*'Параметры'!$B$21*'Параметры'!$B$22)</x:f>
        <x:v>1001.625</x:v>
      </x:c>
      <x:c r="O99" s="3" t="n">
        <x:f>'Расчёт'!$D$33+'Расчёт'!$D$34+'Расчёт'!$D$29+(A99*'Параметры'!$B$8+'Расчёт'!$D$6*('Параметры'!$B$9-'Параметры'!$B$8))*'Параметры'!$B$49*'Параметры'!$B$52+(H99*'Параметры'!$B$8+'Расчёт'!$D$20*('Параметры'!$B$9-'Параметры'!$B$8))*'Параметры'!$B$53</x:f>
        <x:v>22416632</x:v>
      </x:c>
      <x:c r="P99" s="3" t="n">
        <x:f>'Расчёт'!$E$33+'Расчёт'!$E$34+'Расчёт'!$E$29+I99*('Параметры'!$B$8*'Параметры'!$B$17*'Параметры'!$B$22*'Параметры'!$B$32+'Параметры'!$B$33+'Параметры'!$B$34*'Параметры'!$B$32+'Параметры'!$B$35)+((A99*'Параметры'!$B$8+'Расчёт'!$E$6*('Параметры'!$B$9-'Параметры'!$B$8))*'Параметры'!$B$49+M99*'Параметры'!$B$8*('Параметры'!$B$50-'Параметры'!$B$49))*'Параметры'!$B$52+(J99*'Параметры'!$B$8+'Расчёт'!$E$20*('Параметры'!$B$9-'Параметры'!$B$8))*'Параметры'!$B$53</x:f>
        <x:v>14685232</x:v>
      </x:c>
      <x:c r="Q99" s="3" t="n">
        <x:f>'Расчёт'!$F$33+'Расчёт'!$F$34+'Расчёт'!$F$29+'Расчёт'!$F$30+'Расчёт'!$F$32+K99*('Параметры'!$B$8*'Параметры'!$B$17*'Параметры'!$B$22*'Параметры'!$B$32+'Параметры'!$B$33+'Параметры'!$B$34*'Параметры'!$B$32+'Параметры'!$B$35)+((A99*'Параметры'!$B$8+'Расчёт'!$F$6*('Параметры'!$B$9-'Параметры'!$B$8))*'Параметры'!$B$49-(F99*'Параметры'!$B$8+'Расчёт'!$F$12*('Параметры'!$B$9-'Параметры'!$B$8))*('Параметры'!$B$49-'Параметры'!$B$51)+N99*'Параметры'!$B$8*('Параметры'!$B$50-'Параметры'!$B$49))*'Параметры'!$B$52+(L99*'Параметры'!$B$8+'Расчёт'!$F$20*('Параметры'!$B$9-'Параметры'!$B$8))*'Параметры'!$B$53</x:f>
        <x:v>14863487</x:v>
      </x:c>
      <x:c r="R99" s="3" t="n">
        <x:f>'Расчёт'!$D$28+O99*'Расчёт'!$B$124</x:f>
        <x:v>77258112.70510355</x:v>
      </x:c>
      <x:c r="S99" s="3" t="n">
        <x:f>'Расчёт'!$E$28+P99*'Расчёт'!$B$124</x:f>
        <x:v>50715590.50247125</x:v>
      </x:c>
      <x:c r="T99" s="3" t="n">
        <x:f>'Расчёт'!$F$28+Q99*'Расчёт'!$B$122+(O99+'Расчёт'!$F$32)*'Расчёт'!$B$123</x:f>
        <x:v>57027554.35057512</x:v>
      </x:c>
    </x:row>
    <x:row r="100">
      <x:c r="A100" s="3" t="n">
        <x:v>5650</x:v>
      </x:c>
      <x:c r="B100" s="3" t="n">
        <x:f>R100-T100</x:f>
        <x:v>20904815.456812233</x:v>
      </x:c>
      <x:c r="C100" s="3" t="n">
        <x:f>S100-T100</x:f>
        <x:v>-6311963.848103866</x:v>
      </x:c>
      <x:c r="D100" s="3" t="str">
        <x:f>IF(AND(B100&gt;=0,B99&lt;0),A99+(A100-A99)*(-B99)/(B100-B99),"")</x:f>
      </x:c>
      <x:c r="E100" s="3" t="str">
        <x:f>IF(AND(C100&gt;=0,C99&lt;0),A99+(A100-A99)*(-C99)/(C100-C99),"")</x:f>
      </x:c>
      <x:c r="F100" s="3" t="n">
        <x:f>MIN(A100*(1-'Параметры'!$B$14)*'Параметры'!$B$15,'Параметры'!$B$23*(1-'Параметры'!$B$24))</x:f>
        <x:v>2350</x:v>
      </x:c>
      <x:c r="G100" s="3" t="n">
        <x:f>F100*'Параметры'!$B$25*'Параметры'!$B$26</x:f>
        <x:v>1298.375</x:v>
      </x:c>
      <x:c r="H100" s="3" t="n">
        <x:f>MAX(0,A100-'Расчёт'!$D$8)</x:f>
        <x:v>2350</x:v>
      </x:c>
      <x:c r="I100" s="3" t="n">
        <x:f>IF('Параметры'!$B$21*'Параметры'!$B$22=0,0,ROUNDUP(H100/('Расчёт'!$D$7*'Параметры'!$B$17*'Параметры'!$B$21*'Параметры'!$B$22),0))</x:f>
        <x:v>5</x:v>
      </x:c>
      <x:c r="J100" s="3" t="n">
        <x:f>MAX(0,H100-I100*'Расчёт'!$D$7*'Параметры'!$B$17*'Параметры'!$B$21*'Параметры'!$B$22)</x:f>
        <x:v>0</x:v>
      </x:c>
      <x:c r="K100" s="3" t="n">
        <x:f>IF('Параметры'!$B$21*'Параметры'!$B$22=0,0,ROUNDUP(MAX(0,A100-G100-'Расчёт'!$F$8)/('Расчёт'!$F$7*'Параметры'!$B$17*'Параметры'!$B$21*'Параметры'!$B$22),0))</x:f>
        <x:v>3</x:v>
      </x:c>
      <x:c r="L100" s="3" t="n">
        <x:f>MAX(0,A100-G100-'Расчёт'!$F$8-K100*'Расчёт'!$F$7*'Параметры'!$B$17*'Параметры'!$B$21*'Параметры'!$B$22)</x:f>
        <x:v>0</x:v>
      </x:c>
      <x:c r="M100" s="3" t="n">
        <x:f>MIN(H100,I100*'Расчёт'!$E$7*'Параметры'!$B$17*'Параметры'!$B$21*'Параметры'!$B$22)</x:f>
        <x:v>2350</x:v>
      </x:c>
      <x:c r="N100" s="3" t="n">
        <x:f>MIN(MAX(0,A100-G100-'Расчёт'!$F$8),K100*'Расчёт'!$F$7*'Параметры'!$B$17*'Параметры'!$B$21*'Параметры'!$B$22)</x:f>
        <x:v>1051.625</x:v>
      </x:c>
      <x:c r="O100" s="3" t="n">
        <x:f>'Расчёт'!$D$33+'Расчёт'!$D$34+'Расчёт'!$D$29+(A100*'Параметры'!$B$8+'Расчёт'!$D$6*('Параметры'!$B$9-'Параметры'!$B$8))*'Параметры'!$B$49*'Параметры'!$B$52+(H100*'Параметры'!$B$8+'Расчёт'!$D$20*('Параметры'!$B$9-'Параметры'!$B$8))*'Параметры'!$B$53</x:f>
        <x:v>22620832</x:v>
      </x:c>
      <x:c r="P100" s="3" t="n">
        <x:f>'Расчёт'!$E$33+'Расчёт'!$E$34+'Расчёт'!$E$29+I100*('Параметры'!$B$8*'Параметры'!$B$17*'Параметры'!$B$22*'Параметры'!$B$32+'Параметры'!$B$33+'Параметры'!$B$34*'Параметры'!$B$32+'Параметры'!$B$35)+((A100*'Параметры'!$B$8+'Расчёт'!$E$6*('Параметры'!$B$9-'Параметры'!$B$8))*'Параметры'!$B$49+M100*'Параметры'!$B$8*('Параметры'!$B$50-'Параметры'!$B$49))*'Параметры'!$B$52+(J100*'Параметры'!$B$8+'Расчёт'!$E$20*('Параметры'!$B$9-'Параметры'!$B$8))*'Параметры'!$B$53</x:f>
        <x:v>14693032</x:v>
      </x:c>
      <x:c r="Q100" s="3" t="n">
        <x:f>'Расчёт'!$F$33+'Расчёт'!$F$34+'Расчёт'!$F$29+'Расчёт'!$F$30+'Расчёт'!$F$32+K100*('Параметры'!$B$8*'Параметры'!$B$17*'Параметры'!$B$22*'Параметры'!$B$32+'Параметры'!$B$33+'Параметры'!$B$34*'Параметры'!$B$32+'Параметры'!$B$35)+((A100*'Параметры'!$B$8+'Расчёт'!$F$6*('Параметры'!$B$9-'Параметры'!$B$8))*'Параметры'!$B$49-(F100*'Параметры'!$B$8+'Расчёт'!$F$12*('Параметры'!$B$9-'Параметры'!$B$8))*('Параметры'!$B$49-'Параметры'!$B$51)+N100*'Параметры'!$B$8*('Параметры'!$B$50-'Параметры'!$B$49))*'Параметры'!$B$52+(L100*'Параметры'!$B$8+'Расчёт'!$F$20*('Параметры'!$B$9-'Параметры'!$B$8))*'Параметры'!$B$53</x:f>
        <x:v>14871287</x:v>
      </x:c>
      <x:c r="R100" s="3" t="n">
        <x:f>'Расчёт'!$D$28+O100*'Расчёт'!$B$124</x:f>
        <x:v>77959147.83894445</x:v>
      </x:c>
      <x:c r="S100" s="3" t="n">
        <x:f>'Расчёт'!$E$28+P100*'Расчёт'!$B$124</x:f>
        <x:v>50742368.53402835</x:v>
      </x:c>
      <x:c r="T100" s="3" t="n">
        <x:f>'Расчёт'!$F$28+Q100*'Расчёт'!$B$122+(O100+'Расчёт'!$F$32)*'Расчёт'!$B$123</x:f>
        <x:v>57054332.38213222</x:v>
      </x:c>
    </x:row>
    <x:row r="101">
      <x:c r="A101" s="3" t="n">
        <x:v>5700</x:v>
      </x:c>
      <x:c r="B101" s="3" t="n">
        <x:f>R101-T101</x:f>
        <x:v>21579072.55909603</x:v>
      </x:c>
      <x:c r="C101" s="3" t="n">
        <x:f>S101-T101</x:f>
        <x:v>-5417302.947619349</x:v>
      </x:c>
      <x:c r="D101" s="3" t="str">
        <x:f>IF(AND(B101&gt;=0,B100&lt;0),A100+(A101-A100)*(-B100)/(B101-B100),"")</x:f>
      </x:c>
      <x:c r="E101" s="3" t="str">
        <x:f>IF(AND(C101&gt;=0,C100&lt;0),A100+(A101-A100)*(-C100)/(C101-C100),"")</x:f>
      </x:c>
      <x:c r="F101" s="3" t="n">
        <x:f>MIN(A101*(1-'Параметры'!$B$14)*'Параметры'!$B$15,'Параметры'!$B$23*(1-'Параметры'!$B$24))</x:f>
        <x:v>2350</x:v>
      </x:c>
      <x:c r="G101" s="3" t="n">
        <x:f>F101*'Параметры'!$B$25*'Параметры'!$B$26</x:f>
        <x:v>1298.375</x:v>
      </x:c>
      <x:c r="H101" s="3" t="n">
        <x:f>MAX(0,A101-'Расчёт'!$D$8)</x:f>
        <x:v>2400</x:v>
      </x:c>
      <x:c r="I101" s="3" t="n">
        <x:f>IF('Параметры'!$B$21*'Параметры'!$B$22=0,0,ROUNDUP(H101/('Расчёт'!$D$7*'Параметры'!$B$17*'Параметры'!$B$21*'Параметры'!$B$22),0))</x:f>
        <x:v>6</x:v>
      </x:c>
      <x:c r="J101" s="3" t="n">
        <x:f>MAX(0,H101-I101*'Расчёт'!$D$7*'Параметры'!$B$17*'Параметры'!$B$21*'Параметры'!$B$22)</x:f>
        <x:v>0</x:v>
      </x:c>
      <x:c r="K101" s="3" t="n">
        <x:f>IF('Параметры'!$B$21*'Параметры'!$B$22=0,0,ROUNDUP(MAX(0,A101-G101-'Расчёт'!$F$8)/('Расчёт'!$F$7*'Параметры'!$B$17*'Параметры'!$B$21*'Параметры'!$B$22),0))</x:f>
        <x:v>3</x:v>
      </x:c>
      <x:c r="L101" s="3" t="n">
        <x:f>MAX(0,A101-G101-'Расчёт'!$F$8-K101*'Расчёт'!$F$7*'Параметры'!$B$17*'Параметры'!$B$21*'Параметры'!$B$22)</x:f>
        <x:v>0</x:v>
      </x:c>
      <x:c r="M101" s="3" t="n">
        <x:f>MIN(H101,I101*'Расчёт'!$E$7*'Параметры'!$B$17*'Параметры'!$B$21*'Параметры'!$B$22)</x:f>
        <x:v>2400</x:v>
      </x:c>
      <x:c r="N101" s="3" t="n">
        <x:f>MIN(MAX(0,A101-G101-'Расчёт'!$F$8),K101*'Расчёт'!$F$7*'Параметры'!$B$17*'Параметры'!$B$21*'Параметры'!$B$22)</x:f>
        <x:v>1101.625</x:v>
      </x:c>
      <x:c r="O101" s="3" t="n">
        <x:f>'Расчёт'!$D$33+'Расчёт'!$D$34+'Расчёт'!$D$29+(A101*'Параметры'!$B$8+'Расчёт'!$D$6*('Параметры'!$B$9-'Параметры'!$B$8))*'Параметры'!$B$49*'Параметры'!$B$52+(H101*'Параметры'!$B$8+'Расчёт'!$D$20*('Параметры'!$B$9-'Параметры'!$B$8))*'Параметры'!$B$53</x:f>
        <x:v>22825032</x:v>
      </x:c>
      <x:c r="P101" s="3" t="n">
        <x:f>'Расчёт'!$E$33+'Расчёт'!$E$34+'Расчёт'!$E$29+I101*('Параметры'!$B$8*'Параметры'!$B$17*'Параметры'!$B$22*'Параметры'!$B$32+'Параметры'!$B$33+'Параметры'!$B$34*'Параметры'!$B$32+'Параметры'!$B$35)+((A101*'Параметры'!$B$8+'Расчёт'!$E$6*('Параметры'!$B$9-'Параметры'!$B$8))*'Параметры'!$B$49+M101*'Параметры'!$B$8*('Параметры'!$B$50-'Параметры'!$B$49))*'Параметры'!$B$52+(J101*'Параметры'!$B$8+'Расчёт'!$E$20*('Параметры'!$B$9-'Параметры'!$B$8))*'Параметры'!$B$53</x:f>
        <x:v>14961432</x:v>
      </x:c>
      <x:c r="Q101" s="3" t="n">
        <x:f>'Расчёт'!$F$33+'Расчёт'!$F$34+'Расчёт'!$F$29+'Расчёт'!$F$30+'Расчёт'!$F$32+K101*('Параметры'!$B$8*'Параметры'!$B$17*'Параметры'!$B$22*'Параметры'!$B$32+'Параметры'!$B$33+'Параметры'!$B$34*'Параметры'!$B$32+'Параметры'!$B$35)+((A101*'Параметры'!$B$8+'Расчёт'!$F$6*('Параметры'!$B$9-'Параметры'!$B$8))*'Параметры'!$B$49-(F101*'Параметры'!$B$8+'Расчёт'!$F$12*('Параметры'!$B$9-'Параметры'!$B$8))*('Параметры'!$B$49-'Параметры'!$B$51)+N101*'Параметры'!$B$8*('Параметры'!$B$50-'Параметры'!$B$49))*'Параметры'!$B$52+(L101*'Параметры'!$B$8+'Расчёт'!$F$20*('Параметры'!$B$9-'Параметры'!$B$8))*'Параметры'!$B$53</x:f>
        <x:v>14879087</x:v>
      </x:c>
      <x:c r="R101" s="3" t="n">
        <x:f>'Расчёт'!$D$28+O101*'Расчёт'!$B$124</x:f>
        <x:v>78660182.97278534</x:v>
      </x:c>
      <x:c r="S101" s="3" t="n">
        <x:f>'Расчёт'!$E$28+P101*'Расчёт'!$B$124</x:f>
        <x:v>51663807.46606996</x:v>
      </x:c>
      <x:c r="T101" s="3" t="n">
        <x:f>'Расчёт'!$F$28+Q101*'Расчёт'!$B$122+(O101+'Расчёт'!$F$32)*'Расчёт'!$B$123</x:f>
        <x:v>57081110.41368931</x:v>
      </x:c>
    </x:row>
    <x:row r="102">
      <x:c r="A102" s="3" t="n">
        <x:v>5750</x:v>
      </x:c>
      <x:c r="B102" s="3" t="n">
        <x:f>R102-T102</x:f>
        <x:v>22253329.661379836</x:v>
      </x:c>
      <x:c r="C102" s="3" t="n">
        <x:f>S102-T102</x:f>
        <x:v>-5417302.947619349</x:v>
      </x:c>
      <x:c r="D102" s="3" t="str">
        <x:f>IF(AND(B102&gt;=0,B101&lt;0),A101+(A102-A101)*(-B101)/(B102-B101),"")</x:f>
      </x:c>
      <x:c r="E102" s="3" t="str">
        <x:f>IF(AND(C102&gt;=0,C101&lt;0),A101+(A102-A101)*(-C101)/(C102-C101),"")</x:f>
      </x:c>
      <x:c r="F102" s="3" t="n">
        <x:f>MIN(A102*(1-'Параметры'!$B$14)*'Параметры'!$B$15,'Параметры'!$B$23*(1-'Параметры'!$B$24))</x:f>
        <x:v>2350</x:v>
      </x:c>
      <x:c r="G102" s="3" t="n">
        <x:f>F102*'Параметры'!$B$25*'Параметры'!$B$26</x:f>
        <x:v>1298.375</x:v>
      </x:c>
      <x:c r="H102" s="3" t="n">
        <x:f>MAX(0,A102-'Расчёт'!$D$8)</x:f>
        <x:v>2450</x:v>
      </x:c>
      <x:c r="I102" s="3" t="n">
        <x:f>IF('Параметры'!$B$21*'Параметры'!$B$22=0,0,ROUNDUP(H102/('Расчёт'!$D$7*'Параметры'!$B$17*'Параметры'!$B$21*'Параметры'!$B$22),0))</x:f>
        <x:v>6</x:v>
      </x:c>
      <x:c r="J102" s="3" t="n">
        <x:f>MAX(0,H102-I102*'Расчёт'!$D$7*'Параметры'!$B$17*'Параметры'!$B$21*'Параметры'!$B$22)</x:f>
        <x:v>0</x:v>
      </x:c>
      <x:c r="K102" s="3" t="n">
        <x:f>IF('Параметры'!$B$21*'Параметры'!$B$22=0,0,ROUNDUP(MAX(0,A102-G102-'Расчёт'!$F$8)/('Расчёт'!$F$7*'Параметры'!$B$17*'Параметры'!$B$21*'Параметры'!$B$22),0))</x:f>
        <x:v>3</x:v>
      </x:c>
      <x:c r="L102" s="3" t="n">
        <x:f>MAX(0,A102-G102-'Расчёт'!$F$8-K102*'Расчёт'!$F$7*'Параметры'!$B$17*'Параметры'!$B$21*'Параметры'!$B$22)</x:f>
        <x:v>0</x:v>
      </x:c>
      <x:c r="M102" s="3" t="n">
        <x:f>MIN(H102,I102*'Расчёт'!$E$7*'Параметры'!$B$17*'Параметры'!$B$21*'Параметры'!$B$22)</x:f>
        <x:v>2450</x:v>
      </x:c>
      <x:c r="N102" s="3" t="n">
        <x:f>MIN(MAX(0,A102-G102-'Расчёт'!$F$8),K102*'Расчёт'!$F$7*'Параметры'!$B$17*'Параметры'!$B$21*'Параметры'!$B$22)</x:f>
        <x:v>1151.625</x:v>
      </x:c>
      <x:c r="O102" s="3" t="n">
        <x:f>'Расчёт'!$D$33+'Расчёт'!$D$34+'Расчёт'!$D$29+(A102*'Параметры'!$B$8+'Расчёт'!$D$6*('Параметры'!$B$9-'Параметры'!$B$8))*'Параметры'!$B$49*'Параметры'!$B$52+(H102*'Параметры'!$B$8+'Расчёт'!$D$20*('Параметры'!$B$9-'Параметры'!$B$8))*'Параметры'!$B$53</x:f>
        <x:v>23029232</x:v>
      </x:c>
      <x:c r="P102" s="3" t="n">
        <x:f>'Расчёт'!$E$33+'Расчёт'!$E$34+'Расчёт'!$E$29+I102*('Параметры'!$B$8*'Параметры'!$B$17*'Параметры'!$B$22*'Параметры'!$B$32+'Параметры'!$B$33+'Параметры'!$B$34*'Параметры'!$B$32+'Параметры'!$B$35)+((A102*'Параметры'!$B$8+'Расчёт'!$E$6*('Параметры'!$B$9-'Параметры'!$B$8))*'Параметры'!$B$49+M102*'Параметры'!$B$8*('Параметры'!$B$50-'Параметры'!$B$49))*'Параметры'!$B$52+(J102*'Параметры'!$B$8+'Расчёт'!$E$20*('Параметры'!$B$9-'Параметры'!$B$8))*'Параметры'!$B$53</x:f>
        <x:v>14969232</x:v>
      </x:c>
      <x:c r="Q102" s="3" t="n">
        <x:f>'Расчёт'!$F$33+'Расчёт'!$F$34+'Расчёт'!$F$29+'Расчёт'!$F$30+'Расчёт'!$F$32+K102*('Параметры'!$B$8*'Параметры'!$B$17*'Параметры'!$B$22*'Параметры'!$B$32+'Параметры'!$B$33+'Параметры'!$B$34*'Параметры'!$B$32+'Параметры'!$B$35)+((A102*'Параметры'!$B$8+'Расчёт'!$F$6*('Параметры'!$B$9-'Параметры'!$B$8))*'Параметры'!$B$49-(F102*'Параметры'!$B$8+'Расчёт'!$F$12*('Параметры'!$B$9-'Параметры'!$B$8))*('Параметры'!$B$49-'Параметры'!$B$51)+N102*'Параметры'!$B$8*('Параметры'!$B$50-'Параметры'!$B$49))*'Параметры'!$B$52+(L102*'Параметры'!$B$8+'Расчёт'!$F$20*('Параметры'!$B$9-'Параметры'!$B$8))*'Параметры'!$B$53</x:f>
        <x:v>14886887</x:v>
      </x:c>
      <x:c r="R102" s="3" t="n">
        <x:f>'Расчёт'!$D$28+O102*'Расчёт'!$B$124</x:f>
        <x:v>79361218.10662624</x:v>
      </x:c>
      <x:c r="S102" s="3" t="n">
        <x:f>'Расчёт'!$E$28+P102*'Расчёт'!$B$124</x:f>
        <x:v>51690585.49762706</x:v>
      </x:c>
      <x:c r="T102" s="3" t="n">
        <x:f>'Расчёт'!$F$28+Q102*'Расчёт'!$B$122+(O102+'Расчёт'!$F$32)*'Расчёт'!$B$123</x:f>
        <x:v>57107888.445246406</x:v>
      </x:c>
    </x:row>
    <x:row r="103">
      <x:c r="A103" s="3" t="n">
        <x:v>5800</x:v>
      </x:c>
      <x:c r="B103" s="3" t="n">
        <x:f>R103-T103</x:f>
        <x:v>22927586.763663627</x:v>
      </x:c>
      <x:c r="C103" s="3" t="n">
        <x:f>S103-T103</x:f>
        <x:v>-5417302.947619349</x:v>
      </x:c>
      <x:c r="D103" s="3" t="str">
        <x:f>IF(AND(B103&gt;=0,B102&lt;0),A102+(A103-A102)*(-B102)/(B103-B102),"")</x:f>
      </x:c>
      <x:c r="E103" s="3" t="str">
        <x:f>IF(AND(C103&gt;=0,C102&lt;0),A102+(A103-A102)*(-C102)/(C103-C102),"")</x:f>
      </x:c>
      <x:c r="F103" s="3" t="n">
        <x:f>MIN(A103*(1-'Параметры'!$B$14)*'Параметры'!$B$15,'Параметры'!$B$23*(1-'Параметры'!$B$24))</x:f>
        <x:v>2350</x:v>
      </x:c>
      <x:c r="G103" s="3" t="n">
        <x:f>F103*'Параметры'!$B$25*'Параметры'!$B$26</x:f>
        <x:v>1298.375</x:v>
      </x:c>
      <x:c r="H103" s="3" t="n">
        <x:f>MAX(0,A103-'Расчёт'!$D$8)</x:f>
        <x:v>2500</x:v>
      </x:c>
      <x:c r="I103" s="3" t="n">
        <x:f>IF('Параметры'!$B$21*'Параметры'!$B$22=0,0,ROUNDUP(H103/('Расчёт'!$D$7*'Параметры'!$B$17*'Параметры'!$B$21*'Параметры'!$B$22),0))</x:f>
        <x:v>6</x:v>
      </x:c>
      <x:c r="J103" s="3" t="n">
        <x:f>MAX(0,H103-I103*'Расчёт'!$D$7*'Параметры'!$B$17*'Параметры'!$B$21*'Параметры'!$B$22)</x:f>
        <x:v>0</x:v>
      </x:c>
      <x:c r="K103" s="3" t="n">
        <x:f>IF('Параметры'!$B$21*'Параметры'!$B$22=0,0,ROUNDUP(MAX(0,A103-G103-'Расчёт'!$F$8)/('Расчёт'!$F$7*'Параметры'!$B$17*'Параметры'!$B$21*'Параметры'!$B$22),0))</x:f>
        <x:v>3</x:v>
      </x:c>
      <x:c r="L103" s="3" t="n">
        <x:f>MAX(0,A103-G103-'Расчёт'!$F$8-K103*'Расчёт'!$F$7*'Параметры'!$B$17*'Параметры'!$B$21*'Параметры'!$B$22)</x:f>
        <x:v>0</x:v>
      </x:c>
      <x:c r="M103" s="3" t="n">
        <x:f>MIN(H103,I103*'Расчёт'!$E$7*'Параметры'!$B$17*'Параметры'!$B$21*'Параметры'!$B$22)</x:f>
        <x:v>2500</x:v>
      </x:c>
      <x:c r="N103" s="3" t="n">
        <x:f>MIN(MAX(0,A103-G103-'Расчёт'!$F$8),K103*'Расчёт'!$F$7*'Параметры'!$B$17*'Параметры'!$B$21*'Параметры'!$B$22)</x:f>
        <x:v>1201.625</x:v>
      </x:c>
      <x:c r="O103" s="3" t="n">
        <x:f>'Расчёт'!$D$33+'Расчёт'!$D$34+'Расчёт'!$D$29+(A103*'Параметры'!$B$8+'Расчёт'!$D$6*('Параметры'!$B$9-'Параметры'!$B$8))*'Параметры'!$B$49*'Параметры'!$B$52+(H103*'Параметры'!$B$8+'Расчёт'!$D$20*('Параметры'!$B$9-'Параметры'!$B$8))*'Параметры'!$B$53</x:f>
        <x:v>23233432</x:v>
      </x:c>
      <x:c r="P103" s="3" t="n">
        <x:f>'Расчёт'!$E$33+'Расчёт'!$E$34+'Расчёт'!$E$29+I103*('Параметры'!$B$8*'Параметры'!$B$17*'Параметры'!$B$22*'Параметры'!$B$32+'Параметры'!$B$33+'Параметры'!$B$34*'Параметры'!$B$32+'Параметры'!$B$35)+((A103*'Параметры'!$B$8+'Расчёт'!$E$6*('Параметры'!$B$9-'Параметры'!$B$8))*'Параметры'!$B$49+M103*'Параметры'!$B$8*('Параметры'!$B$50-'Параметры'!$B$49))*'Параметры'!$B$52+(J103*'Параметры'!$B$8+'Расчёт'!$E$20*('Параметры'!$B$9-'Параметры'!$B$8))*'Параметры'!$B$53</x:f>
        <x:v>14977032</x:v>
      </x:c>
      <x:c r="Q103" s="3" t="n">
        <x:f>'Расчёт'!$F$33+'Расчёт'!$F$34+'Расчёт'!$F$29+'Расчёт'!$F$30+'Расчёт'!$F$32+K103*('Параметры'!$B$8*'Параметры'!$B$17*'Параметры'!$B$22*'Параметры'!$B$32+'Параметры'!$B$33+'Параметры'!$B$34*'Параметры'!$B$32+'Параметры'!$B$35)+((A103*'Параметры'!$B$8+'Расчёт'!$F$6*('Параметры'!$B$9-'Параметры'!$B$8))*'Параметры'!$B$49-(F103*'Параметры'!$B$8+'Расчёт'!$F$12*('Параметры'!$B$9-'Параметры'!$B$8))*('Параметры'!$B$49-'Параметры'!$B$51)+N103*'Параметры'!$B$8*('Параметры'!$B$50-'Параметры'!$B$49))*'Параметры'!$B$52+(L103*'Параметры'!$B$8+'Расчёт'!$F$20*('Параметры'!$B$9-'Параметры'!$B$8))*'Параметры'!$B$53</x:f>
        <x:v>14894687</x:v>
      </x:c>
      <x:c r="R103" s="3" t="n">
        <x:f>'Расчёт'!$D$28+O103*'Расчёт'!$B$124</x:f>
        <x:v>80062253.24046713</x:v>
      </x:c>
      <x:c r="S103" s="3" t="n">
        <x:f>'Расчёт'!$E$28+P103*'Расчёт'!$B$124</x:f>
        <x:v>51717363.529184155</x:v>
      </x:c>
      <x:c r="T103" s="3" t="n">
        <x:f>'Расчёт'!$F$28+Q103*'Расчёт'!$B$122+(O103+'Расчёт'!$F$32)*'Расчёт'!$B$123</x:f>
        <x:v>57134666.476803504</x:v>
      </x:c>
    </x:row>
    <x:row r="104">
      <x:c r="A104" s="3" t="n">
        <x:v>5850</x:v>
      </x:c>
      <x:c r="B104" s="3" t="n">
        <x:f>R104-T104</x:f>
        <x:v>23601843.865947433</x:v>
      </x:c>
      <x:c r="C104" s="3" t="n">
        <x:f>S104-T104</x:f>
        <x:v>-5417302.947619356</x:v>
      </x:c>
      <x:c r="D104" s="3" t="str">
        <x:f>IF(AND(B104&gt;=0,B103&lt;0),A103+(A104-A103)*(-B103)/(B104-B103),"")</x:f>
      </x:c>
      <x:c r="E104" s="3" t="str">
        <x:f>IF(AND(C104&gt;=0,C103&lt;0),A103+(A104-A103)*(-C103)/(C104-C103),"")</x:f>
      </x:c>
      <x:c r="F104" s="3" t="n">
        <x:f>MIN(A104*(1-'Параметры'!$B$14)*'Параметры'!$B$15,'Параметры'!$B$23*(1-'Параметры'!$B$24))</x:f>
        <x:v>2350</x:v>
      </x:c>
      <x:c r="G104" s="3" t="n">
        <x:f>F104*'Параметры'!$B$25*'Параметры'!$B$26</x:f>
        <x:v>1298.375</x:v>
      </x:c>
      <x:c r="H104" s="3" t="n">
        <x:f>MAX(0,A104-'Расчёт'!$D$8)</x:f>
        <x:v>2550</x:v>
      </x:c>
      <x:c r="I104" s="3" t="n">
        <x:f>IF('Параметры'!$B$21*'Параметры'!$B$22=0,0,ROUNDUP(H104/('Расчёт'!$D$7*'Параметры'!$B$17*'Параметры'!$B$21*'Параметры'!$B$22),0))</x:f>
        <x:v>6</x:v>
      </x:c>
      <x:c r="J104" s="3" t="n">
        <x:f>MAX(0,H104-I104*'Расчёт'!$D$7*'Параметры'!$B$17*'Параметры'!$B$21*'Параметры'!$B$22)</x:f>
        <x:v>0</x:v>
      </x:c>
      <x:c r="K104" s="3" t="n">
        <x:f>IF('Параметры'!$B$21*'Параметры'!$B$22=0,0,ROUNDUP(MAX(0,A104-G104-'Расчёт'!$F$8)/('Расчёт'!$F$7*'Параметры'!$B$17*'Параметры'!$B$21*'Параметры'!$B$22),0))</x:f>
        <x:v>3</x:v>
      </x:c>
      <x:c r="L104" s="3" t="n">
        <x:f>MAX(0,A104-G104-'Расчёт'!$F$8-K104*'Расчёт'!$F$7*'Параметры'!$B$17*'Параметры'!$B$21*'Параметры'!$B$22)</x:f>
        <x:v>0</x:v>
      </x:c>
      <x:c r="M104" s="3" t="n">
        <x:f>MIN(H104,I104*'Расчёт'!$E$7*'Параметры'!$B$17*'Параметры'!$B$21*'Параметры'!$B$22)</x:f>
        <x:v>2550</x:v>
      </x:c>
      <x:c r="N104" s="3" t="n">
        <x:f>MIN(MAX(0,A104-G104-'Расчёт'!$F$8),K104*'Расчёт'!$F$7*'Параметры'!$B$17*'Параметры'!$B$21*'Параметры'!$B$22)</x:f>
        <x:v>1251.625</x:v>
      </x:c>
      <x:c r="O104" s="3" t="n">
        <x:f>'Расчёт'!$D$33+'Расчёт'!$D$34+'Расчёт'!$D$29+(A104*'Параметры'!$B$8+'Расчёт'!$D$6*('Параметры'!$B$9-'Параметры'!$B$8))*'Параметры'!$B$49*'Параметры'!$B$52+(H104*'Параметры'!$B$8+'Расчёт'!$D$20*('Параметры'!$B$9-'Параметры'!$B$8))*'Параметры'!$B$53</x:f>
        <x:v>23437632</x:v>
      </x:c>
      <x:c r="P104" s="3" t="n">
        <x:f>'Расчёт'!$E$33+'Расчёт'!$E$34+'Расчёт'!$E$29+I104*('Параметры'!$B$8*'Параметры'!$B$17*'Параметры'!$B$22*'Параметры'!$B$32+'Параметры'!$B$33+'Параметры'!$B$34*'Параметры'!$B$32+'Параметры'!$B$35)+((A104*'Параметры'!$B$8+'Расчёт'!$E$6*('Параметры'!$B$9-'Параметры'!$B$8))*'Параметры'!$B$49+M104*'Параметры'!$B$8*('Параметры'!$B$50-'Параметры'!$B$49))*'Параметры'!$B$52+(J104*'Параметры'!$B$8+'Расчёт'!$E$20*('Параметры'!$B$9-'Параметры'!$B$8))*'Параметры'!$B$53</x:f>
        <x:v>14984832</x:v>
      </x:c>
      <x:c r="Q104" s="3" t="n">
        <x:f>'Расчёт'!$F$33+'Расчёт'!$F$34+'Расчёт'!$F$29+'Расчёт'!$F$30+'Расчёт'!$F$32+K104*('Параметры'!$B$8*'Параметры'!$B$17*'Параметры'!$B$22*'Параметры'!$B$32+'Параметры'!$B$33+'Параметры'!$B$34*'Параметры'!$B$32+'Параметры'!$B$35)+((A104*'Параметры'!$B$8+'Расчёт'!$F$6*('Параметры'!$B$9-'Параметры'!$B$8))*'Параметры'!$B$49-(F104*'Параметры'!$B$8+'Расчёт'!$F$12*('Параметры'!$B$9-'Параметры'!$B$8))*('Параметры'!$B$49-'Параметры'!$B$51)+N104*'Параметры'!$B$8*('Параметры'!$B$50-'Параметры'!$B$49))*'Параметры'!$B$52+(L104*'Параметры'!$B$8+'Расчёт'!$F$20*('Параметры'!$B$9-'Параметры'!$B$8))*'Параметры'!$B$53</x:f>
        <x:v>14902487</x:v>
      </x:c>
      <x:c r="R104" s="3" t="n">
        <x:f>'Расчёт'!$D$28+O104*'Расчёт'!$B$124</x:f>
        <x:v>80763288.37430803</x:v>
      </x:c>
      <x:c r="S104" s="3" t="n">
        <x:f>'Расчёт'!$E$28+P104*'Расчёт'!$B$124</x:f>
        <x:v>51744141.560741246</x:v>
      </x:c>
      <x:c r="T104" s="3" t="n">
        <x:f>'Расчёт'!$F$28+Q104*'Расчёт'!$B$122+(O104+'Расчёт'!$F$32)*'Расчёт'!$B$123</x:f>
        <x:v>57161444.5083606</x:v>
      </x:c>
    </x:row>
    <x:row r="105">
      <x:c r="A105" s="3" t="n">
        <x:v>5900</x:v>
      </x:c>
      <x:c r="B105" s="3" t="n">
        <x:f>R105-T105</x:f>
        <x:v>24276100.968231246</x:v>
      </x:c>
      <x:c r="C105" s="3" t="n">
        <x:f>S105-T105</x:f>
        <x:v>-5417302.947619349</x:v>
      </x:c>
      <x:c r="D105" s="3" t="str">
        <x:f>IF(AND(B105&gt;=0,B104&lt;0),A104+(A105-A104)*(-B104)/(B105-B104),"")</x:f>
      </x:c>
      <x:c r="E105" s="3" t="str">
        <x:f>IF(AND(C105&gt;=0,C104&lt;0),A104+(A105-A104)*(-C104)/(C105-C104),"")</x:f>
      </x:c>
      <x:c r="F105" s="3" t="n">
        <x:f>MIN(A105*(1-'Параметры'!$B$14)*'Параметры'!$B$15,'Параметры'!$B$23*(1-'Параметры'!$B$24))</x:f>
        <x:v>2350</x:v>
      </x:c>
      <x:c r="G105" s="3" t="n">
        <x:f>F105*'Параметры'!$B$25*'Параметры'!$B$26</x:f>
        <x:v>1298.375</x:v>
      </x:c>
      <x:c r="H105" s="3" t="n">
        <x:f>MAX(0,A105-'Расчёт'!$D$8)</x:f>
        <x:v>2600</x:v>
      </x:c>
      <x:c r="I105" s="3" t="n">
        <x:f>IF('Параметры'!$B$21*'Параметры'!$B$22=0,0,ROUNDUP(H105/('Расчёт'!$D$7*'Параметры'!$B$17*'Параметры'!$B$21*'Параметры'!$B$22),0))</x:f>
        <x:v>6</x:v>
      </x:c>
      <x:c r="J105" s="3" t="n">
        <x:f>MAX(0,H105-I105*'Расчёт'!$D$7*'Параметры'!$B$17*'Параметры'!$B$21*'Параметры'!$B$22)</x:f>
        <x:v>0</x:v>
      </x:c>
      <x:c r="K105" s="3" t="n">
        <x:f>IF('Параметры'!$B$21*'Параметры'!$B$22=0,0,ROUNDUP(MAX(0,A105-G105-'Расчёт'!$F$8)/('Расчёт'!$F$7*'Параметры'!$B$17*'Параметры'!$B$21*'Параметры'!$B$22),0))</x:f>
        <x:v>3</x:v>
      </x:c>
      <x:c r="L105" s="3" t="n">
        <x:f>MAX(0,A105-G105-'Расчёт'!$F$8-K105*'Расчёт'!$F$7*'Параметры'!$B$17*'Параметры'!$B$21*'Параметры'!$B$22)</x:f>
        <x:v>0</x:v>
      </x:c>
      <x:c r="M105" s="3" t="n">
        <x:f>MIN(H105,I105*'Расчёт'!$E$7*'Параметры'!$B$17*'Параметры'!$B$21*'Параметры'!$B$22)</x:f>
        <x:v>2600</x:v>
      </x:c>
      <x:c r="N105" s="3" t="n">
        <x:f>MIN(MAX(0,A105-G105-'Расчёт'!$F$8),K105*'Расчёт'!$F$7*'Параметры'!$B$17*'Параметры'!$B$21*'Параметры'!$B$22)</x:f>
        <x:v>1301.625</x:v>
      </x:c>
      <x:c r="O105" s="3" t="n">
        <x:f>'Расчёт'!$D$33+'Расчёт'!$D$34+'Расчёт'!$D$29+(A105*'Параметры'!$B$8+'Расчёт'!$D$6*('Параметры'!$B$9-'Параметры'!$B$8))*'Параметры'!$B$49*'Параметры'!$B$52+(H105*'Параметры'!$B$8+'Расчёт'!$D$20*('Параметры'!$B$9-'Параметры'!$B$8))*'Параметры'!$B$53</x:f>
        <x:v>23641832</x:v>
      </x:c>
      <x:c r="P105" s="3" t="n">
        <x:f>'Расчёт'!$E$33+'Расчёт'!$E$34+'Расчёт'!$E$29+I105*('Параметры'!$B$8*'Параметры'!$B$17*'Параметры'!$B$22*'Параметры'!$B$32+'Параметры'!$B$33+'Параметры'!$B$34*'Параметры'!$B$32+'Параметры'!$B$35)+((A105*'Параметры'!$B$8+'Расчёт'!$E$6*('Параметры'!$B$9-'Параметры'!$B$8))*'Параметры'!$B$49+M105*'Параметры'!$B$8*('Параметры'!$B$50-'Параметры'!$B$49))*'Параметры'!$B$52+(J105*'Параметры'!$B$8+'Расчёт'!$E$20*('Параметры'!$B$9-'Параметры'!$B$8))*'Параметры'!$B$53</x:f>
        <x:v>14992632</x:v>
      </x:c>
      <x:c r="Q105" s="3" t="n">
        <x:f>'Расчёт'!$F$33+'Расчёт'!$F$34+'Расчёт'!$F$29+'Расчёт'!$F$30+'Расчёт'!$F$32+K105*('Параметры'!$B$8*'Параметры'!$B$17*'Параметры'!$B$22*'Параметры'!$B$32+'Параметры'!$B$33+'Параметры'!$B$34*'Параметры'!$B$32+'Параметры'!$B$35)+((A105*'Параметры'!$B$8+'Расчёт'!$F$6*('Параметры'!$B$9-'Параметры'!$B$8))*'Параметры'!$B$49-(F105*'Параметры'!$B$8+'Расчёт'!$F$12*('Параметры'!$B$9-'Параметры'!$B$8))*('Параметры'!$B$49-'Параметры'!$B$51)+N105*'Параметры'!$B$8*('Параметры'!$B$50-'Параметры'!$B$49))*'Параметры'!$B$52+(L105*'Параметры'!$B$8+'Расчёт'!$F$20*('Параметры'!$B$9-'Параметры'!$B$8))*'Параметры'!$B$53</x:f>
        <x:v>14910287</x:v>
      </x:c>
      <x:c r="R105" s="3" t="n">
        <x:f>'Расчёт'!$D$28+O105*'Расчёт'!$B$124</x:f>
        <x:v>81464323.50814894</x:v>
      </x:c>
      <x:c r="S105" s="3" t="n">
        <x:f>'Расчёт'!$E$28+P105*'Расчёт'!$B$124</x:f>
        <x:v>51770919.592298344</x:v>
      </x:c>
      <x:c r="T105" s="3" t="n">
        <x:f>'Расчёт'!$F$28+Q105*'Расчёт'!$B$122+(O105+'Расчёт'!$F$32)*'Расчёт'!$B$123</x:f>
        <x:v>57188222.53991769</x:v>
      </x:c>
    </x:row>
    <x:row r="106">
      <x:c r="A106" s="3" t="n">
        <x:v>5950</x:v>
      </x:c>
      <x:c r="B106" s="3" t="n">
        <x:f>R106-T106</x:f>
        <x:v>24950358.070515037</x:v>
      </x:c>
      <x:c r="C106" s="3" t="n">
        <x:f>S106-T106</x:f>
        <x:v>-5417302.947619349</x:v>
      </x:c>
      <x:c r="D106" s="3" t="str">
        <x:f>IF(AND(B106&gt;=0,B105&lt;0),A105+(A106-A105)*(-B105)/(B106-B105),"")</x:f>
      </x:c>
      <x:c r="E106" s="3" t="str">
        <x:f>IF(AND(C106&gt;=0,C105&lt;0),A105+(A106-A105)*(-C105)/(C106-C105),"")</x:f>
      </x:c>
      <x:c r="F106" s="3" t="n">
        <x:f>MIN(A106*(1-'Параметры'!$B$14)*'Параметры'!$B$15,'Параметры'!$B$23*(1-'Параметры'!$B$24))</x:f>
        <x:v>2350</x:v>
      </x:c>
      <x:c r="G106" s="3" t="n">
        <x:f>F106*'Параметры'!$B$25*'Параметры'!$B$26</x:f>
        <x:v>1298.375</x:v>
      </x:c>
      <x:c r="H106" s="3" t="n">
        <x:f>MAX(0,A106-'Расчёт'!$D$8)</x:f>
        <x:v>2650</x:v>
      </x:c>
      <x:c r="I106" s="3" t="n">
        <x:f>IF('Параметры'!$B$21*'Параметры'!$B$22=0,0,ROUNDUP(H106/('Расчёт'!$D$7*'Параметры'!$B$17*'Параметры'!$B$21*'Параметры'!$B$22),0))</x:f>
        <x:v>6</x:v>
      </x:c>
      <x:c r="J106" s="3" t="n">
        <x:f>MAX(0,H106-I106*'Расчёт'!$D$7*'Параметры'!$B$17*'Параметры'!$B$21*'Параметры'!$B$22)</x:f>
        <x:v>0</x:v>
      </x:c>
      <x:c r="K106" s="3" t="n">
        <x:f>IF('Параметры'!$B$21*'Параметры'!$B$22=0,0,ROUNDUP(MAX(0,A106-G106-'Расчёт'!$F$8)/('Расчёт'!$F$7*'Параметры'!$B$17*'Параметры'!$B$21*'Параметры'!$B$22),0))</x:f>
        <x:v>3</x:v>
      </x:c>
      <x:c r="L106" s="3" t="n">
        <x:f>MAX(0,A106-G106-'Расчёт'!$F$8-K106*'Расчёт'!$F$7*'Параметры'!$B$17*'Параметры'!$B$21*'Параметры'!$B$22)</x:f>
        <x:v>0</x:v>
      </x:c>
      <x:c r="M106" s="3" t="n">
        <x:f>MIN(H106,I106*'Расчёт'!$E$7*'Параметры'!$B$17*'Параметры'!$B$21*'Параметры'!$B$22)</x:f>
        <x:v>2650</x:v>
      </x:c>
      <x:c r="N106" s="3" t="n">
        <x:f>MIN(MAX(0,A106-G106-'Расчёт'!$F$8),K106*'Расчёт'!$F$7*'Параметры'!$B$17*'Параметры'!$B$21*'Параметры'!$B$22)</x:f>
        <x:v>1351.625</x:v>
      </x:c>
      <x:c r="O106" s="3" t="n">
        <x:f>'Расчёт'!$D$33+'Расчёт'!$D$34+'Расчёт'!$D$29+(A106*'Параметры'!$B$8+'Расчёт'!$D$6*('Параметры'!$B$9-'Параметры'!$B$8))*'Параметры'!$B$49*'Параметры'!$B$52+(H106*'Параметры'!$B$8+'Расчёт'!$D$20*('Параметры'!$B$9-'Параметры'!$B$8))*'Параметры'!$B$53</x:f>
        <x:v>23846032</x:v>
      </x:c>
      <x:c r="P106" s="3" t="n">
        <x:f>'Расчёт'!$E$33+'Расчёт'!$E$34+'Расчёт'!$E$29+I106*('Параметры'!$B$8*'Параметры'!$B$17*'Параметры'!$B$22*'Параметры'!$B$32+'Параметры'!$B$33+'Параметры'!$B$34*'Параметры'!$B$32+'Параметры'!$B$35)+((A106*'Параметры'!$B$8+'Расчёт'!$E$6*('Параметры'!$B$9-'Параметры'!$B$8))*'Параметры'!$B$49+M106*'Параметры'!$B$8*('Параметры'!$B$50-'Параметры'!$B$49))*'Параметры'!$B$52+(J106*'Параметры'!$B$8+'Расчёт'!$E$20*('Параметры'!$B$9-'Параметры'!$B$8))*'Параметры'!$B$53</x:f>
        <x:v>15000432</x:v>
      </x:c>
      <x:c r="Q106" s="3" t="n">
        <x:f>'Расчёт'!$F$33+'Расчёт'!$F$34+'Расчёт'!$F$29+'Расчёт'!$F$30+'Расчёт'!$F$32+K106*('Параметры'!$B$8*'Параметры'!$B$17*'Параметры'!$B$22*'Параметры'!$B$32+'Параметры'!$B$33+'Параметры'!$B$34*'Параметры'!$B$32+'Параметры'!$B$35)+((A106*'Параметры'!$B$8+'Расчёт'!$F$6*('Параметры'!$B$9-'Параметры'!$B$8))*'Параметры'!$B$49-(F106*'Параметры'!$B$8+'Расчёт'!$F$12*('Параметры'!$B$9-'Параметры'!$B$8))*('Параметры'!$B$49-'Параметры'!$B$51)+N106*'Параметры'!$B$8*('Параметры'!$B$50-'Параметры'!$B$49))*'Параметры'!$B$52+(L106*'Параметры'!$B$8+'Расчёт'!$F$20*('Параметры'!$B$9-'Параметры'!$B$8))*'Параметры'!$B$53</x:f>
        <x:v>14918087</x:v>
      </x:c>
      <x:c r="R106" s="3" t="n">
        <x:f>'Расчёт'!$D$28+O106*'Расчёт'!$B$124</x:f>
        <x:v>82165358.64198983</x:v>
      </x:c>
      <x:c r="S106" s="3" t="n">
        <x:f>'Расчёт'!$E$28+P106*'Расчёт'!$B$124</x:f>
        <x:v>51797697.62385544</x:v>
      </x:c>
      <x:c r="T106" s="3" t="n">
        <x:f>'Расчёт'!$F$28+Q106*'Расчёт'!$B$122+(O106+'Расчёт'!$F$32)*'Расчёт'!$B$123</x:f>
        <x:v>57215000.57147479</x:v>
      </x:c>
    </x:row>
    <x:row r="107">
      <x:c r="A107" s="3" t="n">
        <x:v>6000</x:v>
      </x:c>
      <x:c r="B107" s="3" t="n">
        <x:f>R107-T107</x:f>
        <x:v>25624615.172798842</x:v>
      </x:c>
      <x:c r="C107" s="3" t="n">
        <x:f>S107-T107</x:f>
        <x:v>-5417302.947619349</x:v>
      </x:c>
      <x:c r="D107" s="3" t="str">
        <x:f>IF(AND(B107&gt;=0,B106&lt;0),A106+(A107-A106)*(-B106)/(B107-B106),"")</x:f>
      </x:c>
      <x:c r="E107" s="3" t="str">
        <x:f>IF(AND(C107&gt;=0,C106&lt;0),A106+(A107-A106)*(-C106)/(C107-C106),"")</x:f>
      </x:c>
      <x:c r="F107" s="3" t="n">
        <x:f>MIN(A107*(1-'Параметры'!$B$14)*'Параметры'!$B$15,'Параметры'!$B$23*(1-'Параметры'!$B$24))</x:f>
        <x:v>2350</x:v>
      </x:c>
      <x:c r="G107" s="3" t="n">
        <x:f>F107*'Параметры'!$B$25*'Параметры'!$B$26</x:f>
        <x:v>1298.375</x:v>
      </x:c>
      <x:c r="H107" s="3" t="n">
        <x:f>MAX(0,A107-'Расчёт'!$D$8)</x:f>
        <x:v>2700</x:v>
      </x:c>
      <x:c r="I107" s="3" t="n">
        <x:f>IF('Параметры'!$B$21*'Параметры'!$B$22=0,0,ROUNDUP(H107/('Расчёт'!$D$7*'Параметры'!$B$17*'Параметры'!$B$21*'Параметры'!$B$22),0))</x:f>
        <x:v>6</x:v>
      </x:c>
      <x:c r="J107" s="3" t="n">
        <x:f>MAX(0,H107-I107*'Расчёт'!$D$7*'Параметры'!$B$17*'Параметры'!$B$21*'Параметры'!$B$22)</x:f>
        <x:v>0</x:v>
      </x:c>
      <x:c r="K107" s="3" t="n">
        <x:f>IF('Параметры'!$B$21*'Параметры'!$B$22=0,0,ROUNDUP(MAX(0,A107-G107-'Расчёт'!$F$8)/('Расчёт'!$F$7*'Параметры'!$B$17*'Параметры'!$B$21*'Параметры'!$B$22),0))</x:f>
        <x:v>3</x:v>
      </x:c>
      <x:c r="L107" s="3" t="n">
        <x:f>MAX(0,A107-G107-'Расчёт'!$F$8-K107*'Расчёт'!$F$7*'Параметры'!$B$17*'Параметры'!$B$21*'Параметры'!$B$22)</x:f>
        <x:v>0</x:v>
      </x:c>
      <x:c r="M107" s="3" t="n">
        <x:f>MIN(H107,I107*'Расчёт'!$E$7*'Параметры'!$B$17*'Параметры'!$B$21*'Параметры'!$B$22)</x:f>
        <x:v>2700</x:v>
      </x:c>
      <x:c r="N107" s="3" t="n">
        <x:f>MIN(MAX(0,A107-G107-'Расчёт'!$F$8),K107*'Расчёт'!$F$7*'Параметры'!$B$17*'Параметры'!$B$21*'Параметры'!$B$22)</x:f>
        <x:v>1401.625</x:v>
      </x:c>
      <x:c r="O107" s="3" t="n">
        <x:f>'Расчёт'!$D$33+'Расчёт'!$D$34+'Расчёт'!$D$29+(A107*'Параметры'!$B$8+'Расчёт'!$D$6*('Параметры'!$B$9-'Параметры'!$B$8))*'Параметры'!$B$49*'Параметры'!$B$52+(H107*'Параметры'!$B$8+'Расчёт'!$D$20*('Параметры'!$B$9-'Параметры'!$B$8))*'Параметры'!$B$53</x:f>
        <x:v>24050232</x:v>
      </x:c>
      <x:c r="P107" s="3" t="n">
        <x:f>'Расчёт'!$E$33+'Расчёт'!$E$34+'Расчёт'!$E$29+I107*('Параметры'!$B$8*'Параметры'!$B$17*'Параметры'!$B$22*'Параметры'!$B$32+'Параметры'!$B$33+'Параметры'!$B$34*'Параметры'!$B$32+'Параметры'!$B$35)+((A107*'Параметры'!$B$8+'Расчёт'!$E$6*('Параметры'!$B$9-'Параметры'!$B$8))*'Параметры'!$B$49+M107*'Параметры'!$B$8*('Параметры'!$B$50-'Параметры'!$B$49))*'Параметры'!$B$52+(J107*'Параметры'!$B$8+'Расчёт'!$E$20*('Параметры'!$B$9-'Параметры'!$B$8))*'Параметры'!$B$53</x:f>
        <x:v>15008232</x:v>
      </x:c>
      <x:c r="Q107" s="3" t="n">
        <x:f>'Расчёт'!$F$33+'Расчёт'!$F$34+'Расчёт'!$F$29+'Расчёт'!$F$30+'Расчёт'!$F$32+K107*('Параметры'!$B$8*'Параметры'!$B$17*'Параметры'!$B$22*'Параметры'!$B$32+'Параметры'!$B$33+'Параметры'!$B$34*'Параметры'!$B$32+'Параметры'!$B$35)+((A107*'Параметры'!$B$8+'Расчёт'!$F$6*('Параметры'!$B$9-'Параметры'!$B$8))*'Параметры'!$B$49-(F107*'Параметры'!$B$8+'Расчёт'!$F$12*('Параметры'!$B$9-'Параметры'!$B$8))*('Параметры'!$B$49-'Параметры'!$B$51)+N107*'Параметры'!$B$8*('Параметры'!$B$50-'Параметры'!$B$49))*'Параметры'!$B$52+(L107*'Параметры'!$B$8+'Расчёт'!$F$20*('Параметры'!$B$9-'Параметры'!$B$8))*'Параметры'!$B$53</x:f>
        <x:v>14925887</x:v>
      </x:c>
      <x:c r="R107" s="3" t="n">
        <x:f>'Расчёт'!$D$28+O107*'Расчёт'!$B$124</x:f>
        <x:v>82866393.77583073</x:v>
      </x:c>
      <x:c r="S107" s="3" t="n">
        <x:f>'Расчёт'!$E$28+P107*'Расчёт'!$B$124</x:f>
        <x:v>51824475.65541254</x:v>
      </x:c>
      <x:c r="T107" s="3" t="n">
        <x:f>'Расчёт'!$F$28+Q107*'Расчёт'!$B$122+(O107+'Расчёт'!$F$32)*'Расчёт'!$B$123</x:f>
        <x:v>57241778.60303189</x:v>
      </x:c>
    </x:row>
    <x:row r="108">
      <x:c r="A108" s="3" t="n">
        <x:v>6050</x:v>
      </x:c>
      <x:c r="B108" s="3" t="n">
        <x:f>R108-T108</x:f>
        <x:v>25404211.374598123</x:v>
      </x:c>
      <x:c r="C108" s="3" t="n">
        <x:f>S108-T108</x:f>
        <x:v>-6311963.848103866</x:v>
      </x:c>
      <x:c r="D108" s="3" t="str">
        <x:f>IF(AND(B108&gt;=0,B107&lt;0),A107+(A108-A107)*(-B107)/(B108-B107),"")</x:f>
      </x:c>
      <x:c r="E108" s="3" t="str">
        <x:f>IF(AND(C108&gt;=0,C107&lt;0),A107+(A108-A107)*(-C107)/(C108-C107),"")</x:f>
      </x:c>
      <x:c r="F108" s="3" t="n">
        <x:f>MIN(A108*(1-'Параметры'!$B$14)*'Параметры'!$B$15,'Параметры'!$B$23*(1-'Параметры'!$B$24))</x:f>
        <x:v>2350</x:v>
      </x:c>
      <x:c r="G108" s="3" t="n">
        <x:f>F108*'Параметры'!$B$25*'Параметры'!$B$26</x:f>
        <x:v>1298.375</x:v>
      </x:c>
      <x:c r="H108" s="3" t="n">
        <x:f>MAX(0,A108-'Расчёт'!$D$8)</x:f>
        <x:v>2750</x:v>
      </x:c>
      <x:c r="I108" s="3" t="n">
        <x:f>IF('Параметры'!$B$21*'Параметры'!$B$22=0,0,ROUNDUP(H108/('Расчёт'!$D$7*'Параметры'!$B$17*'Параметры'!$B$21*'Параметры'!$B$22),0))</x:f>
        <x:v>6</x:v>
      </x:c>
      <x:c r="J108" s="3" t="n">
        <x:f>MAX(0,H108-I108*'Расчёт'!$D$7*'Параметры'!$B$17*'Параметры'!$B$21*'Параметры'!$B$22)</x:f>
        <x:v>0</x:v>
      </x:c>
      <x:c r="K108" s="3" t="n">
        <x:f>IF('Параметры'!$B$21*'Параметры'!$B$22=0,0,ROUNDUP(MAX(0,A108-G108-'Расчёт'!$F$8)/('Расчёт'!$F$7*'Параметры'!$B$17*'Параметры'!$B$21*'Параметры'!$B$22),0))</x:f>
        <x:v>4</x:v>
      </x:c>
      <x:c r="L108" s="3" t="n">
        <x:f>MAX(0,A108-G108-'Расчёт'!$F$8-K108*'Расчёт'!$F$7*'Параметры'!$B$17*'Параметры'!$B$21*'Параметры'!$B$22)</x:f>
        <x:v>0</x:v>
      </x:c>
      <x:c r="M108" s="3" t="n">
        <x:f>MIN(H108,I108*'Расчёт'!$E$7*'Параметры'!$B$17*'Параметры'!$B$21*'Параметры'!$B$22)</x:f>
        <x:v>2750</x:v>
      </x:c>
      <x:c r="N108" s="3" t="n">
        <x:f>MIN(MAX(0,A108-G108-'Расчёт'!$F$8),K108*'Расчёт'!$F$7*'Параметры'!$B$17*'Параметры'!$B$21*'Параметры'!$B$22)</x:f>
        <x:v>1451.625</x:v>
      </x:c>
      <x:c r="O108" s="3" t="n">
        <x:f>'Расчёт'!$D$33+'Расчёт'!$D$34+'Расчёт'!$D$29+(A108*'Параметры'!$B$8+'Расчёт'!$D$6*('Параметры'!$B$9-'Параметры'!$B$8))*'Параметры'!$B$49*'Параметры'!$B$52+(H108*'Параметры'!$B$8+'Расчёт'!$D$20*('Параметры'!$B$9-'Параметры'!$B$8))*'Параметры'!$B$53</x:f>
        <x:v>24254432</x:v>
      </x:c>
      <x:c r="P108" s="3" t="n">
        <x:f>'Расчёт'!$E$33+'Расчёт'!$E$34+'Расчёт'!$E$29+I108*('Параметры'!$B$8*'Параметры'!$B$17*'Параметры'!$B$22*'Параметры'!$B$32+'Параметры'!$B$33+'Параметры'!$B$34*'Параметры'!$B$32+'Параметры'!$B$35)+((A108*'Параметры'!$B$8+'Расчёт'!$E$6*('Параметры'!$B$9-'Параметры'!$B$8))*'Параметры'!$B$49+M108*'Параметры'!$B$8*('Параметры'!$B$50-'Параметры'!$B$49))*'Параметры'!$B$52+(J108*'Параметры'!$B$8+'Расчёт'!$E$20*('Параметры'!$B$9-'Параметры'!$B$8))*'Параметры'!$B$53</x:f>
        <x:v>15016032</x:v>
      </x:c>
      <x:c r="Q108" s="3" t="n">
        <x:f>'Расчёт'!$F$33+'Расчёт'!$F$34+'Расчёт'!$F$29+'Расчёт'!$F$30+'Расчёт'!$F$32+K108*('Параметры'!$B$8*'Параметры'!$B$17*'Параметры'!$B$22*'Параметры'!$B$32+'Параметры'!$B$33+'Параметры'!$B$34*'Параметры'!$B$32+'Параметры'!$B$35)+((A108*'Параметры'!$B$8+'Расчёт'!$F$6*('Параметры'!$B$9-'Параметры'!$B$8))*'Параметры'!$B$49-(F108*'Параметры'!$B$8+'Расчёт'!$F$12*('Параметры'!$B$9-'Параметры'!$B$8))*('Параметры'!$B$49-'Параметры'!$B$51)+N108*'Параметры'!$B$8*('Параметры'!$B$50-'Параметры'!$B$49))*'Параметры'!$B$52+(L108*'Параметры'!$B$8+'Расчёт'!$F$20*('Параметры'!$B$9-'Параметры'!$B$8))*'Параметры'!$B$53</x:f>
        <x:v>15194287</x:v>
      </x:c>
      <x:c r="R108" s="3" t="n">
        <x:f>'Расчёт'!$D$28+O108*'Расчёт'!$B$124</x:f>
        <x:v>83567428.90967162</x:v>
      </x:c>
      <x:c r="S108" s="3" t="n">
        <x:f>'Расчёт'!$E$28+P108*'Расчёт'!$B$124</x:f>
        <x:v>51851253.68696963</x:v>
      </x:c>
      <x:c r="T108" s="3" t="n">
        <x:f>'Расчёт'!$F$28+Q108*'Расчёт'!$B$122+(O108+'Расчёт'!$F$32)*'Расчёт'!$B$123</x:f>
        <x:v>58163217.5350735</x:v>
      </x:c>
    </x:row>
    <x:row r="109">
      <x:c r="A109" s="3" t="n">
        <x:v>6100</x:v>
      </x:c>
      <x:c r="B109" s="3" t="n">
        <x:f>R109-T109</x:f>
        <x:v>26078468.47688193</x:v>
      </x:c>
      <x:c r="C109" s="3" t="n">
        <x:f>S109-T109</x:f>
        <x:v>-6311963.848103866</x:v>
      </x:c>
      <x:c r="D109" s="3" t="str">
        <x:f>IF(AND(B109&gt;=0,B108&lt;0),A108+(A109-A108)*(-B108)/(B109-B108),"")</x:f>
      </x:c>
      <x:c r="E109" s="3" t="str">
        <x:f>IF(AND(C109&gt;=0,C108&lt;0),A108+(A109-A108)*(-C108)/(C109-C108),"")</x:f>
      </x:c>
      <x:c r="F109" s="3" t="n">
        <x:f>MIN(A109*(1-'Параметры'!$B$14)*'Параметры'!$B$15,'Параметры'!$B$23*(1-'Параметры'!$B$24))</x:f>
        <x:v>2350</x:v>
      </x:c>
      <x:c r="G109" s="3" t="n">
        <x:f>F109*'Параметры'!$B$25*'Параметры'!$B$26</x:f>
        <x:v>1298.375</x:v>
      </x:c>
      <x:c r="H109" s="3" t="n">
        <x:f>MAX(0,A109-'Расчёт'!$D$8)</x:f>
        <x:v>2800</x:v>
      </x:c>
      <x:c r="I109" s="3" t="n">
        <x:f>IF('Параметры'!$B$21*'Параметры'!$B$22=0,0,ROUNDUP(H109/('Расчёт'!$D$7*'Параметры'!$B$17*'Параметры'!$B$21*'Параметры'!$B$22),0))</x:f>
        <x:v>6</x:v>
      </x:c>
      <x:c r="J109" s="3" t="n">
        <x:f>MAX(0,H109-I109*'Расчёт'!$D$7*'Параметры'!$B$17*'Параметры'!$B$21*'Параметры'!$B$22)</x:f>
        <x:v>0</x:v>
      </x:c>
      <x:c r="K109" s="3" t="n">
        <x:f>IF('Параметры'!$B$21*'Параметры'!$B$22=0,0,ROUNDUP(MAX(0,A109-G109-'Расчёт'!$F$8)/('Расчёт'!$F$7*'Параметры'!$B$17*'Параметры'!$B$21*'Параметры'!$B$22),0))</x:f>
        <x:v>4</x:v>
      </x:c>
      <x:c r="L109" s="3" t="n">
        <x:f>MAX(0,A109-G109-'Расчёт'!$F$8-K109*'Расчёт'!$F$7*'Параметры'!$B$17*'Параметры'!$B$21*'Параметры'!$B$22)</x:f>
        <x:v>0</x:v>
      </x:c>
      <x:c r="M109" s="3" t="n">
        <x:f>MIN(H109,I109*'Расчёт'!$E$7*'Параметры'!$B$17*'Параметры'!$B$21*'Параметры'!$B$22)</x:f>
        <x:v>2800</x:v>
      </x:c>
      <x:c r="N109" s="3" t="n">
        <x:f>MIN(MAX(0,A109-G109-'Расчёт'!$F$8),K109*'Расчёт'!$F$7*'Параметры'!$B$17*'Параметры'!$B$21*'Параметры'!$B$22)</x:f>
        <x:v>1501.625</x:v>
      </x:c>
      <x:c r="O109" s="3" t="n">
        <x:f>'Расчёт'!$D$33+'Расчёт'!$D$34+'Расчёт'!$D$29+(A109*'Параметры'!$B$8+'Расчёт'!$D$6*('Параметры'!$B$9-'Параметры'!$B$8))*'Параметры'!$B$49*'Параметры'!$B$52+(H109*'Параметры'!$B$8+'Расчёт'!$D$20*('Параметры'!$B$9-'Параметры'!$B$8))*'Параметры'!$B$53</x:f>
        <x:v>24458632</x:v>
      </x:c>
      <x:c r="P109" s="3" t="n">
        <x:f>'Расчёт'!$E$33+'Расчёт'!$E$34+'Расчёт'!$E$29+I109*('Параметры'!$B$8*'Параметры'!$B$17*'Параметры'!$B$22*'Параметры'!$B$32+'Параметры'!$B$33+'Параметры'!$B$34*'Параметры'!$B$32+'Параметры'!$B$35)+((A109*'Параметры'!$B$8+'Расчёт'!$E$6*('Параметры'!$B$9-'Параметры'!$B$8))*'Параметры'!$B$49+M109*'Параметры'!$B$8*('Параметры'!$B$50-'Параметры'!$B$49))*'Параметры'!$B$52+(J109*'Параметры'!$B$8+'Расчёт'!$E$20*('Параметры'!$B$9-'Параметры'!$B$8))*'Параметры'!$B$53</x:f>
        <x:v>15023832</x:v>
      </x:c>
      <x:c r="Q109" s="3" t="n">
        <x:f>'Расчёт'!$F$33+'Расчёт'!$F$34+'Расчёт'!$F$29+'Расчёт'!$F$30+'Расчёт'!$F$32+K109*('Параметры'!$B$8*'Параметры'!$B$17*'Параметры'!$B$22*'Параметры'!$B$32+'Параметры'!$B$33+'Параметры'!$B$34*'Параметры'!$B$32+'Параметры'!$B$35)+((A109*'Параметры'!$B$8+'Расчёт'!$F$6*('Параметры'!$B$9-'Параметры'!$B$8))*'Параметры'!$B$49-(F109*'Параметры'!$B$8+'Расчёт'!$F$12*('Параметры'!$B$9-'Параметры'!$B$8))*('Параметры'!$B$49-'Параметры'!$B$51)+N109*'Параметры'!$B$8*('Параметры'!$B$50-'Параметры'!$B$49))*'Параметры'!$B$52+(L109*'Параметры'!$B$8+'Расчёт'!$F$20*('Параметры'!$B$9-'Параметры'!$B$8))*'Параметры'!$B$53</x:f>
        <x:v>15202087</x:v>
      </x:c>
      <x:c r="R109" s="3" t="n">
        <x:f>'Расчёт'!$D$28+O109*'Расчёт'!$B$124</x:f>
        <x:v>84268464.04351252</x:v>
      </x:c>
      <x:c r="S109" s="3" t="n">
        <x:f>'Расчёт'!$E$28+P109*'Расчёт'!$B$124</x:f>
        <x:v>51878031.71852673</x:v>
      </x:c>
      <x:c r="T109" s="3" t="n">
        <x:f>'Расчёт'!$F$28+Q109*'Расчёт'!$B$122+(O109+'Расчёт'!$F$32)*'Расчёт'!$B$123</x:f>
        <x:v>58189995.566630594</x:v>
      </x:c>
    </x:row>
    <x:row r="110">
      <x:c r="A110" s="3" t="n">
        <x:v>6150</x:v>
      </x:c>
      <x:c r="B110" s="3" t="n">
        <x:f>R110-T110</x:f>
        <x:v>26752725.579165734</x:v>
      </x:c>
      <x:c r="C110" s="3" t="n">
        <x:f>S110-T110</x:f>
        <x:v>-6311963.848103866</x:v>
      </x:c>
      <x:c r="D110" s="3" t="str">
        <x:f>IF(AND(B110&gt;=0,B109&lt;0),A109+(A110-A109)*(-B109)/(B110-B109),"")</x:f>
      </x:c>
      <x:c r="E110" s="3" t="str">
        <x:f>IF(AND(C110&gt;=0,C109&lt;0),A109+(A110-A109)*(-C109)/(C110-C109),"")</x:f>
      </x:c>
      <x:c r="F110" s="3" t="n">
        <x:f>MIN(A110*(1-'Параметры'!$B$14)*'Параметры'!$B$15,'Параметры'!$B$23*(1-'Параметры'!$B$24))</x:f>
        <x:v>2350</x:v>
      </x:c>
      <x:c r="G110" s="3" t="n">
        <x:f>F110*'Параметры'!$B$25*'Параметры'!$B$26</x:f>
        <x:v>1298.375</x:v>
      </x:c>
      <x:c r="H110" s="3" t="n">
        <x:f>MAX(0,A110-'Расчёт'!$D$8)</x:f>
        <x:v>2850</x:v>
      </x:c>
      <x:c r="I110" s="3" t="n">
        <x:f>IF('Параметры'!$B$21*'Параметры'!$B$22=0,0,ROUNDUP(H110/('Расчёт'!$D$7*'Параметры'!$B$17*'Параметры'!$B$21*'Параметры'!$B$22),0))</x:f>
        <x:v>6</x:v>
      </x:c>
      <x:c r="J110" s="3" t="n">
        <x:f>MAX(0,H110-I110*'Расчёт'!$D$7*'Параметры'!$B$17*'Параметры'!$B$21*'Параметры'!$B$22)</x:f>
        <x:v>0</x:v>
      </x:c>
      <x:c r="K110" s="3" t="n">
        <x:f>IF('Параметры'!$B$21*'Параметры'!$B$22=0,0,ROUNDUP(MAX(0,A110-G110-'Расчёт'!$F$8)/('Расчёт'!$F$7*'Параметры'!$B$17*'Параметры'!$B$21*'Параметры'!$B$22),0))</x:f>
        <x:v>4</x:v>
      </x:c>
      <x:c r="L110" s="3" t="n">
        <x:f>MAX(0,A110-G110-'Расчёт'!$F$8-K110*'Расчёт'!$F$7*'Параметры'!$B$17*'Параметры'!$B$21*'Параметры'!$B$22)</x:f>
        <x:v>0</x:v>
      </x:c>
      <x:c r="M110" s="3" t="n">
        <x:f>MIN(H110,I110*'Расчёт'!$E$7*'Параметры'!$B$17*'Параметры'!$B$21*'Параметры'!$B$22)</x:f>
        <x:v>2850</x:v>
      </x:c>
      <x:c r="N110" s="3" t="n">
        <x:f>MIN(MAX(0,A110-G110-'Расчёт'!$F$8),K110*'Расчёт'!$F$7*'Параметры'!$B$17*'Параметры'!$B$21*'Параметры'!$B$22)</x:f>
        <x:v>1551.625</x:v>
      </x:c>
      <x:c r="O110" s="3" t="n">
        <x:f>'Расчёт'!$D$33+'Расчёт'!$D$34+'Расчёт'!$D$29+(A110*'Параметры'!$B$8+'Расчёт'!$D$6*('Параметры'!$B$9-'Параметры'!$B$8))*'Параметры'!$B$49*'Параметры'!$B$52+(H110*'Параметры'!$B$8+'Расчёт'!$D$20*('Параметры'!$B$9-'Параметры'!$B$8))*'Параметры'!$B$53</x:f>
        <x:v>24662832</x:v>
      </x:c>
      <x:c r="P110" s="3" t="n">
        <x:f>'Расчёт'!$E$33+'Расчёт'!$E$34+'Расчёт'!$E$29+I110*('Параметры'!$B$8*'Параметры'!$B$17*'Параметры'!$B$22*'Параметры'!$B$32+'Параметры'!$B$33+'Параметры'!$B$34*'Параметры'!$B$32+'Параметры'!$B$35)+((A110*'Параметры'!$B$8+'Расчёт'!$E$6*('Параметры'!$B$9-'Параметры'!$B$8))*'Параметры'!$B$49+M110*'Параметры'!$B$8*('Параметры'!$B$50-'Параметры'!$B$49))*'Параметры'!$B$52+(J110*'Параметры'!$B$8+'Расчёт'!$E$20*('Параметры'!$B$9-'Параметры'!$B$8))*'Параметры'!$B$53</x:f>
        <x:v>15031632</x:v>
      </x:c>
      <x:c r="Q110" s="3" t="n">
        <x:f>'Расчёт'!$F$33+'Расчёт'!$F$34+'Расчёт'!$F$29+'Расчёт'!$F$30+'Расчёт'!$F$32+K110*('Параметры'!$B$8*'Параметры'!$B$17*'Параметры'!$B$22*'Параметры'!$B$32+'Параметры'!$B$33+'Параметры'!$B$34*'Параметры'!$B$32+'Параметры'!$B$35)+((A110*'Параметры'!$B$8+'Расчёт'!$F$6*('Параметры'!$B$9-'Параметры'!$B$8))*'Параметры'!$B$49-(F110*'Параметры'!$B$8+'Расчёт'!$F$12*('Параметры'!$B$9-'Параметры'!$B$8))*('Параметры'!$B$49-'Параметры'!$B$51)+N110*'Параметры'!$B$8*('Параметры'!$B$50-'Параметры'!$B$49))*'Параметры'!$B$52+(L110*'Параметры'!$B$8+'Расчёт'!$F$20*('Параметры'!$B$9-'Параметры'!$B$8))*'Параметры'!$B$53</x:f>
        <x:v>15209887</x:v>
      </x:c>
      <x:c r="R110" s="3" t="n">
        <x:f>'Расчёт'!$D$28+O110*'Расчёт'!$B$124</x:f>
        <x:v>84969499.17735343</x:v>
      </x:c>
      <x:c r="S110" s="3" t="n">
        <x:f>'Расчёт'!$E$28+P110*'Расчёт'!$B$124</x:f>
        <x:v>51904809.75008383</x:v>
      </x:c>
      <x:c r="T110" s="3" t="n">
        <x:f>'Расчёт'!$F$28+Q110*'Расчёт'!$B$122+(O110+'Расчёт'!$F$32)*'Расчёт'!$B$123</x:f>
        <x:v>58216773.59818769</x:v>
      </x:c>
    </x:row>
    <x:row r="111">
      <x:c r="A111" s="3" t="n">
        <x:v>6200</x:v>
      </x:c>
      <x:c r="B111" s="3" t="n">
        <x:f>R111-T111</x:f>
        <x:v>27426982.681449533</x:v>
      </x:c>
      <x:c r="C111" s="3" t="n">
        <x:f>S111-T111</x:f>
        <x:v>-5417302.947619349</x:v>
      </x:c>
      <x:c r="D111" s="3" t="str">
        <x:f>IF(AND(B111&gt;=0,B110&lt;0),A110+(A111-A110)*(-B110)/(B111-B110),"")</x:f>
      </x:c>
      <x:c r="E111" s="3" t="str">
        <x:f>IF(AND(C111&gt;=0,C110&lt;0),A110+(A111-A110)*(-C110)/(C111-C110),"")</x:f>
      </x:c>
      <x:c r="F111" s="3" t="n">
        <x:f>MIN(A111*(1-'Параметры'!$B$14)*'Параметры'!$B$15,'Параметры'!$B$23*(1-'Параметры'!$B$24))</x:f>
        <x:v>2350</x:v>
      </x:c>
      <x:c r="G111" s="3" t="n">
        <x:f>F111*'Параметры'!$B$25*'Параметры'!$B$26</x:f>
        <x:v>1298.375</x:v>
      </x:c>
      <x:c r="H111" s="3" t="n">
        <x:f>MAX(0,A111-'Расчёт'!$D$8)</x:f>
        <x:v>2900</x:v>
      </x:c>
      <x:c r="I111" s="3" t="n">
        <x:f>IF('Параметры'!$B$21*'Параметры'!$B$22=0,0,ROUNDUP(H111/('Расчёт'!$D$7*'Параметры'!$B$17*'Параметры'!$B$21*'Параметры'!$B$22),0))</x:f>
        <x:v>7</x:v>
      </x:c>
      <x:c r="J111" s="3" t="n">
        <x:f>MAX(0,H111-I111*'Расчёт'!$D$7*'Параметры'!$B$17*'Параметры'!$B$21*'Параметры'!$B$22)</x:f>
        <x:v>0</x:v>
      </x:c>
      <x:c r="K111" s="3" t="n">
        <x:f>IF('Параметры'!$B$21*'Параметры'!$B$22=0,0,ROUNDUP(MAX(0,A111-G111-'Расчёт'!$F$8)/('Расчёт'!$F$7*'Параметры'!$B$17*'Параметры'!$B$21*'Параметры'!$B$22),0))</x:f>
        <x:v>4</x:v>
      </x:c>
      <x:c r="L111" s="3" t="n">
        <x:f>MAX(0,A111-G111-'Расчёт'!$F$8-K111*'Расчёт'!$F$7*'Параметры'!$B$17*'Параметры'!$B$21*'Параметры'!$B$22)</x:f>
        <x:v>0</x:v>
      </x:c>
      <x:c r="M111" s="3" t="n">
        <x:f>MIN(H111,I111*'Расчёт'!$E$7*'Параметры'!$B$17*'Параметры'!$B$21*'Параметры'!$B$22)</x:f>
        <x:v>2900</x:v>
      </x:c>
      <x:c r="N111" s="3" t="n">
        <x:f>MIN(MAX(0,A111-G111-'Расчёт'!$F$8),K111*'Расчёт'!$F$7*'Параметры'!$B$17*'Параметры'!$B$21*'Параметры'!$B$22)</x:f>
        <x:v>1601.625</x:v>
      </x:c>
      <x:c r="O111" s="3" t="n">
        <x:f>'Расчёт'!$D$33+'Расчёт'!$D$34+'Расчёт'!$D$29+(A111*'Параметры'!$B$8+'Расчёт'!$D$6*('Параметры'!$B$9-'Параметры'!$B$8))*'Параметры'!$B$49*'Параметры'!$B$52+(H111*'Параметры'!$B$8+'Расчёт'!$D$20*('Параметры'!$B$9-'Параметры'!$B$8))*'Параметры'!$B$53</x:f>
        <x:v>24867032</x:v>
      </x:c>
      <x:c r="P111" s="3" t="n">
        <x:f>'Расчёт'!$E$33+'Расчёт'!$E$34+'Расчёт'!$E$29+I111*('Параметры'!$B$8*'Параметры'!$B$17*'Параметры'!$B$22*'Параметры'!$B$32+'Параметры'!$B$33+'Параметры'!$B$34*'Параметры'!$B$32+'Параметры'!$B$35)+((A111*'Параметры'!$B$8+'Расчёт'!$E$6*('Параметры'!$B$9-'Параметры'!$B$8))*'Параметры'!$B$49+M111*'Параметры'!$B$8*('Параметры'!$B$50-'Параметры'!$B$49))*'Параметры'!$B$52+(J111*'Параметры'!$B$8+'Расчёт'!$E$20*('Параметры'!$B$9-'Параметры'!$B$8))*'Параметры'!$B$53</x:f>
        <x:v>15300032</x:v>
      </x:c>
      <x:c r="Q111" s="3" t="n">
        <x:f>'Расчёт'!$F$33+'Расчёт'!$F$34+'Расчёт'!$F$29+'Расчёт'!$F$30+'Расчёт'!$F$32+K111*('Параметры'!$B$8*'Параметры'!$B$17*'Параметры'!$B$22*'Параметры'!$B$32+'Параметры'!$B$33+'Параметры'!$B$34*'Параметры'!$B$32+'Параметры'!$B$35)+((A111*'Параметры'!$B$8+'Расчёт'!$F$6*('Параметры'!$B$9-'Параметры'!$B$8))*'Параметры'!$B$49-(F111*'Параметры'!$B$8+'Расчёт'!$F$12*('Параметры'!$B$9-'Параметры'!$B$8))*('Параметры'!$B$49-'Параметры'!$B$51)+N111*'Параметры'!$B$8*('Параметры'!$B$50-'Параметры'!$B$49))*'Параметры'!$B$52+(L111*'Параметры'!$B$8+'Расчёт'!$F$20*('Параметры'!$B$9-'Параметры'!$B$8))*'Параметры'!$B$53</x:f>
        <x:v>15217687</x:v>
      </x:c>
      <x:c r="R111" s="3" t="n">
        <x:f>'Расчёт'!$D$28+O111*'Расчёт'!$B$124</x:f>
        <x:v>85670534.31119432</x:v>
      </x:c>
      <x:c r="S111" s="3" t="n">
        <x:f>'Расчёт'!$E$28+P111*'Расчёт'!$B$124</x:f>
        <x:v>52826248.682125434</x:v>
      </x:c>
      <x:c r="T111" s="3" t="n">
        <x:f>'Расчёт'!$F$28+Q111*'Расчёт'!$B$122+(O111+'Расчёт'!$F$32)*'Расчёт'!$B$123</x:f>
        <x:v>58243551.62974478</x:v>
      </x:c>
    </x:row>
    <x:row r="112">
      <x:c r="A112" s="3" t="n">
        <x:v>6250</x:v>
      </x:c>
      <x:c r="B112" s="3" t="n">
        <x:f>R112-T112</x:f>
        <x:v>28101239.783733338</x:v>
      </x:c>
      <x:c r="C112" s="3" t="n">
        <x:f>S112-T112</x:f>
        <x:v>-5417302.947619349</x:v>
      </x:c>
      <x:c r="D112" s="3" t="str">
        <x:f>IF(AND(B112&gt;=0,B111&lt;0),A111+(A112-A111)*(-B111)/(B112-B111),"")</x:f>
      </x:c>
      <x:c r="E112" s="3" t="str">
        <x:f>IF(AND(C112&gt;=0,C111&lt;0),A111+(A112-A111)*(-C111)/(C112-C111),"")</x:f>
      </x:c>
      <x:c r="F112" s="3" t="n">
        <x:f>MIN(A112*(1-'Параметры'!$B$14)*'Параметры'!$B$15,'Параметры'!$B$23*(1-'Параметры'!$B$24))</x:f>
        <x:v>2350</x:v>
      </x:c>
      <x:c r="G112" s="3" t="n">
        <x:f>F112*'Параметры'!$B$25*'Параметры'!$B$26</x:f>
        <x:v>1298.375</x:v>
      </x:c>
      <x:c r="H112" s="3" t="n">
        <x:f>MAX(0,A112-'Расчёт'!$D$8)</x:f>
        <x:v>2950</x:v>
      </x:c>
      <x:c r="I112" s="3" t="n">
        <x:f>IF('Параметры'!$B$21*'Параметры'!$B$22=0,0,ROUNDUP(H112/('Расчёт'!$D$7*'Параметры'!$B$17*'Параметры'!$B$21*'Параметры'!$B$22),0))</x:f>
        <x:v>7</x:v>
      </x:c>
      <x:c r="J112" s="3" t="n">
        <x:f>MAX(0,H112-I112*'Расчёт'!$D$7*'Параметры'!$B$17*'Параметры'!$B$21*'Параметры'!$B$22)</x:f>
        <x:v>0</x:v>
      </x:c>
      <x:c r="K112" s="3" t="n">
        <x:f>IF('Параметры'!$B$21*'Параметры'!$B$22=0,0,ROUNDUP(MAX(0,A112-G112-'Расчёт'!$F$8)/('Расчёт'!$F$7*'Параметры'!$B$17*'Параметры'!$B$21*'Параметры'!$B$22),0))</x:f>
        <x:v>4</x:v>
      </x:c>
      <x:c r="L112" s="3" t="n">
        <x:f>MAX(0,A112-G112-'Расчёт'!$F$8-K112*'Расчёт'!$F$7*'Параметры'!$B$17*'Параметры'!$B$21*'Параметры'!$B$22)</x:f>
        <x:v>0</x:v>
      </x:c>
      <x:c r="M112" s="3" t="n">
        <x:f>MIN(H112,I112*'Расчёт'!$E$7*'Параметры'!$B$17*'Параметры'!$B$21*'Параметры'!$B$22)</x:f>
        <x:v>2950</x:v>
      </x:c>
      <x:c r="N112" s="3" t="n">
        <x:f>MIN(MAX(0,A112-G112-'Расчёт'!$F$8),K112*'Расчёт'!$F$7*'Параметры'!$B$17*'Параметры'!$B$21*'Параметры'!$B$22)</x:f>
        <x:v>1651.625</x:v>
      </x:c>
      <x:c r="O112" s="3" t="n">
        <x:f>'Расчёт'!$D$33+'Расчёт'!$D$34+'Расчёт'!$D$29+(A112*'Параметры'!$B$8+'Расчёт'!$D$6*('Параметры'!$B$9-'Параметры'!$B$8))*'Параметры'!$B$49*'Параметры'!$B$52+(H112*'Параметры'!$B$8+'Расчёт'!$D$20*('Параметры'!$B$9-'Параметры'!$B$8))*'Параметры'!$B$53</x:f>
        <x:v>25071232</x:v>
      </x:c>
      <x:c r="P112" s="3" t="n">
        <x:f>'Расчёт'!$E$33+'Расчёт'!$E$34+'Расчёт'!$E$29+I112*('Параметры'!$B$8*'Параметры'!$B$17*'Параметры'!$B$22*'Параметры'!$B$32+'Параметры'!$B$33+'Параметры'!$B$34*'Параметры'!$B$32+'Параметры'!$B$35)+((A112*'Параметры'!$B$8+'Расчёт'!$E$6*('Параметры'!$B$9-'Параметры'!$B$8))*'Параметры'!$B$49+M112*'Параметры'!$B$8*('Параметры'!$B$50-'Параметры'!$B$49))*'Параметры'!$B$52+(J112*'Параметры'!$B$8+'Расчёт'!$E$20*('Параметры'!$B$9-'Параметры'!$B$8))*'Параметры'!$B$53</x:f>
        <x:v>15307832</x:v>
      </x:c>
      <x:c r="Q112" s="3" t="n">
        <x:f>'Расчёт'!$F$33+'Расчёт'!$F$34+'Расчёт'!$F$29+'Расчёт'!$F$30+'Расчёт'!$F$32+K112*('Параметры'!$B$8*'Параметры'!$B$17*'Параметры'!$B$22*'Параметры'!$B$32+'Параметры'!$B$33+'Параметры'!$B$34*'Параметры'!$B$32+'Параметры'!$B$35)+((A112*'Параметры'!$B$8+'Расчёт'!$F$6*('Параметры'!$B$9-'Параметры'!$B$8))*'Параметры'!$B$49-(F112*'Параметры'!$B$8+'Расчёт'!$F$12*('Параметры'!$B$9-'Параметры'!$B$8))*('Параметры'!$B$49-'Параметры'!$B$51)+N112*'Параметры'!$B$8*('Параметры'!$B$50-'Параметры'!$B$49))*'Параметры'!$B$52+(L112*'Параметры'!$B$8+'Расчёт'!$F$20*('Параметры'!$B$9-'Параметры'!$B$8))*'Параметры'!$B$53</x:f>
        <x:v>15225487</x:v>
      </x:c>
      <x:c r="R112" s="3" t="n">
        <x:f>'Расчёт'!$D$28+O112*'Расчёт'!$B$124</x:f>
        <x:v>86371569.44503522</x:v>
      </x:c>
      <x:c r="S112" s="3" t="n">
        <x:f>'Расчёт'!$E$28+P112*'Расчёт'!$B$124</x:f>
        <x:v>52853026.71368253</x:v>
      </x:c>
      <x:c r="T112" s="3" t="n">
        <x:f>'Расчёт'!$F$28+Q112*'Расчёт'!$B$122+(O112+'Расчёт'!$F$32)*'Расчёт'!$B$123</x:f>
        <x:v>58270329.66130188</x:v>
      </x:c>
    </x:row>
    <x:row r="113">
      <x:c r="A113" s="3" t="n">
        <x:v>6300</x:v>
      </x:c>
      <x:c r="B113" s="3" t="n">
        <x:f>R113-T113</x:f>
        <x:v>28775496.88601713</x:v>
      </x:c>
      <x:c r="C113" s="3" t="n">
        <x:f>S113-T113</x:f>
        <x:v>-5417302.947619349</x:v>
      </x:c>
      <x:c r="D113" s="3" t="str">
        <x:f>IF(AND(B113&gt;=0,B112&lt;0),A112+(A113-A112)*(-B112)/(B113-B112),"")</x:f>
      </x:c>
      <x:c r="E113" s="3" t="str">
        <x:f>IF(AND(C113&gt;=0,C112&lt;0),A112+(A113-A112)*(-C112)/(C113-C112),"")</x:f>
      </x:c>
      <x:c r="F113" s="3" t="n">
        <x:f>MIN(A113*(1-'Параметры'!$B$14)*'Параметры'!$B$15,'Параметры'!$B$23*(1-'Параметры'!$B$24))</x:f>
        <x:v>2350</x:v>
      </x:c>
      <x:c r="G113" s="3" t="n">
        <x:f>F113*'Параметры'!$B$25*'Параметры'!$B$26</x:f>
        <x:v>1298.375</x:v>
      </x:c>
      <x:c r="H113" s="3" t="n">
        <x:f>MAX(0,A113-'Расчёт'!$D$8)</x:f>
        <x:v>3000</x:v>
      </x:c>
      <x:c r="I113" s="3" t="n">
        <x:f>IF('Параметры'!$B$21*'Параметры'!$B$22=0,0,ROUNDUP(H113/('Расчёт'!$D$7*'Параметры'!$B$17*'Параметры'!$B$21*'Параметры'!$B$22),0))</x:f>
        <x:v>7</x:v>
      </x:c>
      <x:c r="J113" s="3" t="n">
        <x:f>MAX(0,H113-I113*'Расчёт'!$D$7*'Параметры'!$B$17*'Параметры'!$B$21*'Параметры'!$B$22)</x:f>
        <x:v>0</x:v>
      </x:c>
      <x:c r="K113" s="3" t="n">
        <x:f>IF('Параметры'!$B$21*'Параметры'!$B$22=0,0,ROUNDUP(MAX(0,A113-G113-'Расчёт'!$F$8)/('Расчёт'!$F$7*'Параметры'!$B$17*'Параметры'!$B$21*'Параметры'!$B$22),0))</x:f>
        <x:v>4</x:v>
      </x:c>
      <x:c r="L113" s="3" t="n">
        <x:f>MAX(0,A113-G113-'Расчёт'!$F$8-K113*'Расчёт'!$F$7*'Параметры'!$B$17*'Параметры'!$B$21*'Параметры'!$B$22)</x:f>
        <x:v>0</x:v>
      </x:c>
      <x:c r="M113" s="3" t="n">
        <x:f>MIN(H113,I113*'Расчёт'!$E$7*'Параметры'!$B$17*'Параметры'!$B$21*'Параметры'!$B$22)</x:f>
        <x:v>3000</x:v>
      </x:c>
      <x:c r="N113" s="3" t="n">
        <x:f>MIN(MAX(0,A113-G113-'Расчёт'!$F$8),K113*'Расчёт'!$F$7*'Параметры'!$B$17*'Параметры'!$B$21*'Параметры'!$B$22)</x:f>
        <x:v>1701.625</x:v>
      </x:c>
      <x:c r="O113" s="3" t="n">
        <x:f>'Расчёт'!$D$33+'Расчёт'!$D$34+'Расчёт'!$D$29+(A113*'Параметры'!$B$8+'Расчёт'!$D$6*('Параметры'!$B$9-'Параметры'!$B$8))*'Параметры'!$B$49*'Параметры'!$B$52+(H113*'Параметры'!$B$8+'Расчёт'!$D$20*('Параметры'!$B$9-'Параметры'!$B$8))*'Параметры'!$B$53</x:f>
        <x:v>25275432</x:v>
      </x:c>
      <x:c r="P113" s="3" t="n">
        <x:f>'Расчёт'!$E$33+'Расчёт'!$E$34+'Расчёт'!$E$29+I113*('Параметры'!$B$8*'Параметры'!$B$17*'Параметры'!$B$22*'Параметры'!$B$32+'Параметры'!$B$33+'Параметры'!$B$34*'Параметры'!$B$32+'Параметры'!$B$35)+((A113*'Параметры'!$B$8+'Расчёт'!$E$6*('Параметры'!$B$9-'Параметры'!$B$8))*'Параметры'!$B$49+M113*'Параметры'!$B$8*('Параметры'!$B$50-'Параметры'!$B$49))*'Параметры'!$B$52+(J113*'Параметры'!$B$8+'Расчёт'!$E$20*('Параметры'!$B$9-'Параметры'!$B$8))*'Параметры'!$B$53</x:f>
        <x:v>15315632</x:v>
      </x:c>
      <x:c r="Q113" s="3" t="n">
        <x:f>'Расчёт'!$F$33+'Расчёт'!$F$34+'Расчёт'!$F$29+'Расчёт'!$F$30+'Расчёт'!$F$32+K113*('Параметры'!$B$8*'Параметры'!$B$17*'Параметры'!$B$22*'Параметры'!$B$32+'Параметры'!$B$33+'Параметры'!$B$34*'Параметры'!$B$32+'Параметры'!$B$35)+((A113*'Параметры'!$B$8+'Расчёт'!$F$6*('Параметры'!$B$9-'Параметры'!$B$8))*'Параметры'!$B$49-(F113*'Параметры'!$B$8+'Расчёт'!$F$12*('Параметры'!$B$9-'Параметры'!$B$8))*('Параметры'!$B$49-'Параметры'!$B$51)+N113*'Параметры'!$B$8*('Параметры'!$B$50-'Параметры'!$B$49))*'Параметры'!$B$52+(L113*'Параметры'!$B$8+'Расчёт'!$F$20*('Параметры'!$B$9-'Параметры'!$B$8))*'Параметры'!$B$53</x:f>
        <x:v>15233287</x:v>
      </x:c>
      <x:c r="R113" s="3" t="n">
        <x:f>'Расчёт'!$D$28+O113*'Расчёт'!$B$124</x:f>
        <x:v>87072604.57887611</x:v>
      </x:c>
      <x:c r="S113" s="3" t="n">
        <x:f>'Расчёт'!$E$28+P113*'Расчёт'!$B$124</x:f>
        <x:v>52879804.74523963</x:v>
      </x:c>
      <x:c r="T113" s="3" t="n">
        <x:f>'Расчёт'!$F$28+Q113*'Расчёт'!$B$122+(O113+'Расчёт'!$F$32)*'Расчёт'!$B$123</x:f>
        <x:v>58297107.69285898</x:v>
      </x:c>
    </x:row>
    <x:row r="114">
      <x:c r="A114" s="3" t="n">
        <x:v>6350</x:v>
      </x:c>
      <x:c r="B114" s="3" t="n">
        <x:f>R114-T114</x:f>
        <x:v>29449753.988300942</x:v>
      </x:c>
      <x:c r="C114" s="3" t="n">
        <x:f>S114-T114</x:f>
        <x:v>-5417302.947619349</x:v>
      </x:c>
      <x:c r="D114" s="3" t="str">
        <x:f>IF(AND(B114&gt;=0,B113&lt;0),A113+(A114-A113)*(-B113)/(B114-B113),"")</x:f>
      </x:c>
      <x:c r="E114" s="3" t="str">
        <x:f>IF(AND(C114&gt;=0,C113&lt;0),A113+(A114-A113)*(-C113)/(C114-C113),"")</x:f>
      </x:c>
      <x:c r="F114" s="3" t="n">
        <x:f>MIN(A114*(1-'Параметры'!$B$14)*'Параметры'!$B$15,'Параметры'!$B$23*(1-'Параметры'!$B$24))</x:f>
        <x:v>2350</x:v>
      </x:c>
      <x:c r="G114" s="3" t="n">
        <x:f>F114*'Параметры'!$B$25*'Параметры'!$B$26</x:f>
        <x:v>1298.375</x:v>
      </x:c>
      <x:c r="H114" s="3" t="n">
        <x:f>MAX(0,A114-'Расчёт'!$D$8)</x:f>
        <x:v>3050</x:v>
      </x:c>
      <x:c r="I114" s="3" t="n">
        <x:f>IF('Параметры'!$B$21*'Параметры'!$B$22=0,0,ROUNDUP(H114/('Расчёт'!$D$7*'Параметры'!$B$17*'Параметры'!$B$21*'Параметры'!$B$22),0))</x:f>
        <x:v>7</x:v>
      </x:c>
      <x:c r="J114" s="3" t="n">
        <x:f>MAX(0,H114-I114*'Расчёт'!$D$7*'Параметры'!$B$17*'Параметры'!$B$21*'Параметры'!$B$22)</x:f>
        <x:v>0</x:v>
      </x:c>
      <x:c r="K114" s="3" t="n">
        <x:f>IF('Параметры'!$B$21*'Параметры'!$B$22=0,0,ROUNDUP(MAX(0,A114-G114-'Расчёт'!$F$8)/('Расчёт'!$F$7*'Параметры'!$B$17*'Параметры'!$B$21*'Параметры'!$B$22),0))</x:f>
        <x:v>4</x:v>
      </x:c>
      <x:c r="L114" s="3" t="n">
        <x:f>MAX(0,A114-G114-'Расчёт'!$F$8-K114*'Расчёт'!$F$7*'Параметры'!$B$17*'Параметры'!$B$21*'Параметры'!$B$22)</x:f>
        <x:v>0</x:v>
      </x:c>
      <x:c r="M114" s="3" t="n">
        <x:f>MIN(H114,I114*'Расчёт'!$E$7*'Параметры'!$B$17*'Параметры'!$B$21*'Параметры'!$B$22)</x:f>
        <x:v>3050</x:v>
      </x:c>
      <x:c r="N114" s="3" t="n">
        <x:f>MIN(MAX(0,A114-G114-'Расчёт'!$F$8),K114*'Расчёт'!$F$7*'Параметры'!$B$17*'Параметры'!$B$21*'Параметры'!$B$22)</x:f>
        <x:v>1751.625</x:v>
      </x:c>
      <x:c r="O114" s="3" t="n">
        <x:f>'Расчёт'!$D$33+'Расчёт'!$D$34+'Расчёт'!$D$29+(A114*'Параметры'!$B$8+'Расчёт'!$D$6*('Параметры'!$B$9-'Параметры'!$B$8))*'Параметры'!$B$49*'Параметры'!$B$52+(H114*'Параметры'!$B$8+'Расчёт'!$D$20*('Параметры'!$B$9-'Параметры'!$B$8))*'Параметры'!$B$53</x:f>
        <x:v>25479632</x:v>
      </x:c>
      <x:c r="P114" s="3" t="n">
        <x:f>'Расчёт'!$E$33+'Расчёт'!$E$34+'Расчёт'!$E$29+I114*('Параметры'!$B$8*'Параметры'!$B$17*'Параметры'!$B$22*'Параметры'!$B$32+'Параметры'!$B$33+'Параметры'!$B$34*'Параметры'!$B$32+'Параметры'!$B$35)+((A114*'Параметры'!$B$8+'Расчёт'!$E$6*('Параметры'!$B$9-'Параметры'!$B$8))*'Параметры'!$B$49+M114*'Параметры'!$B$8*('Параметры'!$B$50-'Параметры'!$B$49))*'Параметры'!$B$52+(J114*'Параметры'!$B$8+'Расчёт'!$E$20*('Параметры'!$B$9-'Параметры'!$B$8))*'Параметры'!$B$53</x:f>
        <x:v>15323432</x:v>
      </x:c>
      <x:c r="Q114" s="3" t="n">
        <x:f>'Расчёт'!$F$33+'Расчёт'!$F$34+'Расчёт'!$F$29+'Расчёт'!$F$30+'Расчёт'!$F$32+K114*('Параметры'!$B$8*'Параметры'!$B$17*'Параметры'!$B$22*'Параметры'!$B$32+'Параметры'!$B$33+'Параметры'!$B$34*'Параметры'!$B$32+'Параметры'!$B$35)+((A114*'Параметры'!$B$8+'Расчёт'!$F$6*('Параметры'!$B$9-'Параметры'!$B$8))*'Параметры'!$B$49-(F114*'Параметры'!$B$8+'Расчёт'!$F$12*('Параметры'!$B$9-'Параметры'!$B$8))*('Параметры'!$B$49-'Параметры'!$B$51)+N114*'Параметры'!$B$8*('Параметры'!$B$50-'Параметры'!$B$49))*'Параметры'!$B$52+(L114*'Параметры'!$B$8+'Расчёт'!$F$20*('Параметры'!$B$9-'Параметры'!$B$8))*'Параметры'!$B$53</x:f>
        <x:v>15241087</x:v>
      </x:c>
      <x:c r="R114" s="3" t="n">
        <x:f>'Расчёт'!$D$28+O114*'Расчёт'!$B$124</x:f>
        <x:v>87773639.71271701</x:v>
      </x:c>
      <x:c r="S114" s="3" t="n">
        <x:f>'Расчёт'!$E$28+P114*'Расчёт'!$B$124</x:f>
        <x:v>52906582.77679672</x:v>
      </x:c>
      <x:c r="T114" s="3" t="n">
        <x:f>'Расчёт'!$F$28+Q114*'Расчёт'!$B$122+(O114+'Расчёт'!$F$32)*'Расчёт'!$B$123</x:f>
        <x:v>58323885.72441607</x:v>
      </x:c>
    </x:row>
    <x:row r="115">
      <x:c r="A115" s="3" t="n">
        <x:v>6400</x:v>
      </x:c>
      <x:c r="B115" s="3" t="n">
        <x:f>R115-T115</x:f>
        <x:v>30124011.090584747</x:v>
      </x:c>
      <x:c r="C115" s="3" t="n">
        <x:f>S115-T115</x:f>
        <x:v>-5417302.947619349</x:v>
      </x:c>
      <x:c r="D115" s="3" t="str">
        <x:f>IF(AND(B115&gt;=0,B114&lt;0),A114+(A115-A114)*(-B114)/(B115-B114),"")</x:f>
      </x:c>
      <x:c r="E115" s="3" t="str">
        <x:f>IF(AND(C115&gt;=0,C114&lt;0),A114+(A115-A114)*(-C114)/(C115-C114),"")</x:f>
      </x:c>
      <x:c r="F115" s="3" t="n">
        <x:f>MIN(A115*(1-'Параметры'!$B$14)*'Параметры'!$B$15,'Параметры'!$B$23*(1-'Параметры'!$B$24))</x:f>
        <x:v>2350</x:v>
      </x:c>
      <x:c r="G115" s="3" t="n">
        <x:f>F115*'Параметры'!$B$25*'Параметры'!$B$26</x:f>
        <x:v>1298.375</x:v>
      </x:c>
      <x:c r="H115" s="3" t="n">
        <x:f>MAX(0,A115-'Расчёт'!$D$8)</x:f>
        <x:v>3100</x:v>
      </x:c>
      <x:c r="I115" s="3" t="n">
        <x:f>IF('Параметры'!$B$21*'Параметры'!$B$22=0,0,ROUNDUP(H115/('Расчёт'!$D$7*'Параметры'!$B$17*'Параметры'!$B$21*'Параметры'!$B$22),0))</x:f>
        <x:v>7</x:v>
      </x:c>
      <x:c r="J115" s="3" t="n">
        <x:f>MAX(0,H115-I115*'Расчёт'!$D$7*'Параметры'!$B$17*'Параметры'!$B$21*'Параметры'!$B$22)</x:f>
        <x:v>0</x:v>
      </x:c>
      <x:c r="K115" s="3" t="n">
        <x:f>IF('Параметры'!$B$21*'Параметры'!$B$22=0,0,ROUNDUP(MAX(0,A115-G115-'Расчёт'!$F$8)/('Расчёт'!$F$7*'Параметры'!$B$17*'Параметры'!$B$21*'Параметры'!$B$22),0))</x:f>
        <x:v>4</x:v>
      </x:c>
      <x:c r="L115" s="3" t="n">
        <x:f>MAX(0,A115-G115-'Расчёт'!$F$8-K115*'Расчёт'!$F$7*'Параметры'!$B$17*'Параметры'!$B$21*'Параметры'!$B$22)</x:f>
        <x:v>0</x:v>
      </x:c>
      <x:c r="M115" s="3" t="n">
        <x:f>MIN(H115,I115*'Расчёт'!$E$7*'Параметры'!$B$17*'Параметры'!$B$21*'Параметры'!$B$22)</x:f>
        <x:v>3100</x:v>
      </x:c>
      <x:c r="N115" s="3" t="n">
        <x:f>MIN(MAX(0,A115-G115-'Расчёт'!$F$8),K115*'Расчёт'!$F$7*'Параметры'!$B$17*'Параметры'!$B$21*'Параметры'!$B$22)</x:f>
        <x:v>1801.625</x:v>
      </x:c>
      <x:c r="O115" s="3" t="n">
        <x:f>'Расчёт'!$D$33+'Расчёт'!$D$34+'Расчёт'!$D$29+(A115*'Параметры'!$B$8+'Расчёт'!$D$6*('Параметры'!$B$9-'Параметры'!$B$8))*'Параметры'!$B$49*'Параметры'!$B$52+(H115*'Параметры'!$B$8+'Расчёт'!$D$20*('Параметры'!$B$9-'Параметры'!$B$8))*'Параметры'!$B$53</x:f>
        <x:v>25683832</x:v>
      </x:c>
      <x:c r="P115" s="3" t="n">
        <x:f>'Расчёт'!$E$33+'Расчёт'!$E$34+'Расчёт'!$E$29+I115*('Параметры'!$B$8*'Параметры'!$B$17*'Параметры'!$B$22*'Параметры'!$B$32+'Параметры'!$B$33+'Параметры'!$B$34*'Параметры'!$B$32+'Параметры'!$B$35)+((A115*'Параметры'!$B$8+'Расчёт'!$E$6*('Параметры'!$B$9-'Параметры'!$B$8))*'Параметры'!$B$49+M115*'Параметры'!$B$8*('Параметры'!$B$50-'Параметры'!$B$49))*'Параметры'!$B$52+(J115*'Параметры'!$B$8+'Расчёт'!$E$20*('Параметры'!$B$9-'Параметры'!$B$8))*'Параметры'!$B$53</x:f>
        <x:v>15331232</x:v>
      </x:c>
      <x:c r="Q115" s="3" t="n">
        <x:f>'Расчёт'!$F$33+'Расчёт'!$F$34+'Расчёт'!$F$29+'Расчёт'!$F$30+'Расчёт'!$F$32+K115*('Параметры'!$B$8*'Параметры'!$B$17*'Параметры'!$B$22*'Параметры'!$B$32+'Параметры'!$B$33+'Параметры'!$B$34*'Параметры'!$B$32+'Параметры'!$B$35)+((A115*'Параметры'!$B$8+'Расчёт'!$F$6*('Параметры'!$B$9-'Параметры'!$B$8))*'Параметры'!$B$49-(F115*'Параметры'!$B$8+'Расчёт'!$F$12*('Параметры'!$B$9-'Параметры'!$B$8))*('Параметры'!$B$49-'Параметры'!$B$51)+N115*'Параметры'!$B$8*('Параметры'!$B$50-'Параметры'!$B$49))*'Параметры'!$B$52+(L115*'Параметры'!$B$8+'Расчёт'!$F$20*('Параметры'!$B$9-'Параметры'!$B$8))*'Параметры'!$B$53</x:f>
        <x:v>15248887</x:v>
      </x:c>
      <x:c r="R115" s="3" t="n">
        <x:f>'Расчёт'!$D$28+O115*'Расчёт'!$B$124</x:f>
        <x:v>88474674.84655792</x:v>
      </x:c>
      <x:c r="S115" s="3" t="n">
        <x:f>'Расчёт'!$E$28+P115*'Расчёт'!$B$124</x:f>
        <x:v>52933360.80835382</x:v>
      </x:c>
      <x:c r="T115" s="3" t="n">
        <x:f>'Расчёт'!$F$28+Q115*'Расчёт'!$B$122+(O115+'Расчёт'!$F$32)*'Расчёт'!$B$123</x:f>
        <x:v>58350663.75597317</x:v>
      </x:c>
    </x:row>
    <x:row r="116">
      <x:c r="A116" s="3" t="n">
        <x:v>6450</x:v>
      </x:c>
      <x:c r="B116" s="3" t="n">
        <x:f>R116-T116</x:f>
        <x:v>30798268.19286854</x:v>
      </x:c>
      <x:c r="C116" s="3" t="n">
        <x:f>S116-T116</x:f>
        <x:v>-5417302.947619349</x:v>
      </x:c>
      <x:c r="D116" s="3" t="str">
        <x:f>IF(AND(B116&gt;=0,B115&lt;0),A115+(A116-A115)*(-B115)/(B116-B115),"")</x:f>
      </x:c>
      <x:c r="E116" s="3" t="str">
        <x:f>IF(AND(C116&gt;=0,C115&lt;0),A115+(A116-A115)*(-C115)/(C116-C115),"")</x:f>
      </x:c>
      <x:c r="F116" s="3" t="n">
        <x:f>MIN(A116*(1-'Параметры'!$B$14)*'Параметры'!$B$15,'Параметры'!$B$23*(1-'Параметры'!$B$24))</x:f>
        <x:v>2350</x:v>
      </x:c>
      <x:c r="G116" s="3" t="n">
        <x:f>F116*'Параметры'!$B$25*'Параметры'!$B$26</x:f>
        <x:v>1298.375</x:v>
      </x:c>
      <x:c r="H116" s="3" t="n">
        <x:f>MAX(0,A116-'Расчёт'!$D$8)</x:f>
        <x:v>3150</x:v>
      </x:c>
      <x:c r="I116" s="3" t="n">
        <x:f>IF('Параметры'!$B$21*'Параметры'!$B$22=0,0,ROUNDUP(H116/('Расчёт'!$D$7*'Параметры'!$B$17*'Параметры'!$B$21*'Параметры'!$B$22),0))</x:f>
        <x:v>7</x:v>
      </x:c>
      <x:c r="J116" s="3" t="n">
        <x:f>MAX(0,H116-I116*'Расчёт'!$D$7*'Параметры'!$B$17*'Параметры'!$B$21*'Параметры'!$B$22)</x:f>
        <x:v>0</x:v>
      </x:c>
      <x:c r="K116" s="3" t="n">
        <x:f>IF('Параметры'!$B$21*'Параметры'!$B$22=0,0,ROUNDUP(MAX(0,A116-G116-'Расчёт'!$F$8)/('Расчёт'!$F$7*'Параметры'!$B$17*'Параметры'!$B$21*'Параметры'!$B$22),0))</x:f>
        <x:v>4</x:v>
      </x:c>
      <x:c r="L116" s="3" t="n">
        <x:f>MAX(0,A116-G116-'Расчёт'!$F$8-K116*'Расчёт'!$F$7*'Параметры'!$B$17*'Параметры'!$B$21*'Параметры'!$B$22)</x:f>
        <x:v>0</x:v>
      </x:c>
      <x:c r="M116" s="3" t="n">
        <x:f>MIN(H116,I116*'Расчёт'!$E$7*'Параметры'!$B$17*'Параметры'!$B$21*'Параметры'!$B$22)</x:f>
        <x:v>3150</x:v>
      </x:c>
      <x:c r="N116" s="3" t="n">
        <x:f>MIN(MAX(0,A116-G116-'Расчёт'!$F$8),K116*'Расчёт'!$F$7*'Параметры'!$B$17*'Параметры'!$B$21*'Параметры'!$B$22)</x:f>
        <x:v>1851.625</x:v>
      </x:c>
      <x:c r="O116" s="3" t="n">
        <x:f>'Расчёт'!$D$33+'Расчёт'!$D$34+'Расчёт'!$D$29+(A116*'Параметры'!$B$8+'Расчёт'!$D$6*('Параметры'!$B$9-'Параметры'!$B$8))*'Параметры'!$B$49*'Параметры'!$B$52+(H116*'Параметры'!$B$8+'Расчёт'!$D$20*('Параметры'!$B$9-'Параметры'!$B$8))*'Параметры'!$B$53</x:f>
        <x:v>25888032</x:v>
      </x:c>
      <x:c r="P116" s="3" t="n">
        <x:f>'Расчёт'!$E$33+'Расчёт'!$E$34+'Расчёт'!$E$29+I116*('Параметры'!$B$8*'Параметры'!$B$17*'Параметры'!$B$22*'Параметры'!$B$32+'Параметры'!$B$33+'Параметры'!$B$34*'Параметры'!$B$32+'Параметры'!$B$35)+((A116*'Параметры'!$B$8+'Расчёт'!$E$6*('Параметры'!$B$9-'Параметры'!$B$8))*'Параметры'!$B$49+M116*'Параметры'!$B$8*('Параметры'!$B$50-'Параметры'!$B$49))*'Параметры'!$B$52+(J116*'Параметры'!$B$8+'Расчёт'!$E$20*('Параметры'!$B$9-'Параметры'!$B$8))*'Параметры'!$B$53</x:f>
        <x:v>15339032</x:v>
      </x:c>
      <x:c r="Q116" s="3" t="n">
        <x:f>'Расчёт'!$F$33+'Расчёт'!$F$34+'Расчёт'!$F$29+'Расчёт'!$F$30+'Расчёт'!$F$32+K116*('Параметры'!$B$8*'Параметры'!$B$17*'Параметры'!$B$22*'Параметры'!$B$32+'Параметры'!$B$33+'Параметры'!$B$34*'Параметры'!$B$32+'Параметры'!$B$35)+((A116*'Параметры'!$B$8+'Расчёт'!$F$6*('Параметры'!$B$9-'Параметры'!$B$8))*'Параметры'!$B$49-(F116*'Параметры'!$B$8+'Расчёт'!$F$12*('Параметры'!$B$9-'Параметры'!$B$8))*('Параметры'!$B$49-'Параметры'!$B$51)+N116*'Параметры'!$B$8*('Параметры'!$B$50-'Параметры'!$B$49))*'Параметры'!$B$52+(L116*'Параметры'!$B$8+'Расчёт'!$F$20*('Параметры'!$B$9-'Параметры'!$B$8))*'Параметры'!$B$53</x:f>
        <x:v>15256687</x:v>
      </x:c>
      <x:c r="R116" s="3" t="n">
        <x:f>'Расчёт'!$D$28+O116*'Расчёт'!$B$124</x:f>
        <x:v>89175709.9803988</x:v>
      </x:c>
      <x:c r="S116" s="3" t="n">
        <x:f>'Расчёт'!$E$28+P116*'Расчёт'!$B$124</x:f>
        <x:v>52960138.83991092</x:v>
      </x:c>
      <x:c r="T116" s="3" t="n">
        <x:f>'Расчёт'!$F$28+Q116*'Расчёт'!$B$122+(O116+'Расчёт'!$F$32)*'Расчёт'!$B$123</x:f>
        <x:v>58377441.787530266</x:v>
      </x:c>
    </x:row>
    <x:row r="117">
      <x:c r="A117" s="3" t="n">
        <x:v>6500</x:v>
      </x:c>
      <x:c r="B117" s="3" t="n">
        <x:f>R117-T117</x:f>
        <x:v>30577864.394667834</x:v>
      </x:c>
      <x:c r="C117" s="3" t="n">
        <x:f>S117-T117</x:f>
        <x:v>-6311963.848103866</x:v>
      </x:c>
      <x:c r="D117" s="3" t="str">
        <x:f>IF(AND(B117&gt;=0,B116&lt;0),A116+(A117-A116)*(-B116)/(B117-B116),"")</x:f>
      </x:c>
      <x:c r="E117" s="3" t="str">
        <x:f>IF(AND(C117&gt;=0,C116&lt;0),A116+(A117-A116)*(-C116)/(C117-C116),"")</x:f>
      </x:c>
      <x:c r="F117" s="3" t="n">
        <x:f>MIN(A117*(1-'Параметры'!$B$14)*'Параметры'!$B$15,'Параметры'!$B$23*(1-'Параметры'!$B$24))</x:f>
        <x:v>2350</x:v>
      </x:c>
      <x:c r="G117" s="3" t="n">
        <x:f>F117*'Параметры'!$B$25*'Параметры'!$B$26</x:f>
        <x:v>1298.375</x:v>
      </x:c>
      <x:c r="H117" s="3" t="n">
        <x:f>MAX(0,A117-'Расчёт'!$D$8)</x:f>
        <x:v>3200</x:v>
      </x:c>
      <x:c r="I117" s="3" t="n">
        <x:f>IF('Параметры'!$B$21*'Параметры'!$B$22=0,0,ROUNDUP(H117/('Расчёт'!$D$7*'Параметры'!$B$17*'Параметры'!$B$21*'Параметры'!$B$22),0))</x:f>
        <x:v>7</x:v>
      </x:c>
      <x:c r="J117" s="3" t="n">
        <x:f>MAX(0,H117-I117*'Расчёт'!$D$7*'Параметры'!$B$17*'Параметры'!$B$21*'Параметры'!$B$22)</x:f>
        <x:v>0</x:v>
      </x:c>
      <x:c r="K117" s="3" t="n">
        <x:f>IF('Параметры'!$B$21*'Параметры'!$B$22=0,0,ROUNDUP(MAX(0,A117-G117-'Расчёт'!$F$8)/('Расчёт'!$F$7*'Параметры'!$B$17*'Параметры'!$B$21*'Параметры'!$B$22),0))</x:f>
        <x:v>5</x:v>
      </x:c>
      <x:c r="L117" s="3" t="n">
        <x:f>MAX(0,A117-G117-'Расчёт'!$F$8-K117*'Расчёт'!$F$7*'Параметры'!$B$17*'Параметры'!$B$21*'Параметры'!$B$22)</x:f>
        <x:v>0</x:v>
      </x:c>
      <x:c r="M117" s="3" t="n">
        <x:f>MIN(H117,I117*'Расчёт'!$E$7*'Параметры'!$B$17*'Параметры'!$B$21*'Параметры'!$B$22)</x:f>
        <x:v>3200</x:v>
      </x:c>
      <x:c r="N117" s="3" t="n">
        <x:f>MIN(MAX(0,A117-G117-'Расчёт'!$F$8),K117*'Расчёт'!$F$7*'Параметры'!$B$17*'Параметры'!$B$21*'Параметры'!$B$22)</x:f>
        <x:v>1901.625</x:v>
      </x:c>
      <x:c r="O117" s="3" t="n">
        <x:f>'Расчёт'!$D$33+'Расчёт'!$D$34+'Расчёт'!$D$29+(A117*'Параметры'!$B$8+'Расчёт'!$D$6*('Параметры'!$B$9-'Параметры'!$B$8))*'Параметры'!$B$49*'Параметры'!$B$52+(H117*'Параметры'!$B$8+'Расчёт'!$D$20*('Параметры'!$B$9-'Параметры'!$B$8))*'Параметры'!$B$53</x:f>
        <x:v>26092232</x:v>
      </x:c>
      <x:c r="P117" s="3" t="n">
        <x:f>'Расчёт'!$E$33+'Расчёт'!$E$34+'Расчёт'!$E$29+I117*('Параметры'!$B$8*'Параметры'!$B$17*'Параметры'!$B$22*'Параметры'!$B$32+'Параметры'!$B$33+'Параметры'!$B$34*'Параметры'!$B$32+'Параметры'!$B$35)+((A117*'Параметры'!$B$8+'Расчёт'!$E$6*('Параметры'!$B$9-'Параметры'!$B$8))*'Параметры'!$B$49+M117*'Параметры'!$B$8*('Параметры'!$B$50-'Параметры'!$B$49))*'Параметры'!$B$52+(J117*'Параметры'!$B$8+'Расчёт'!$E$20*('Параметры'!$B$9-'Параметры'!$B$8))*'Параметры'!$B$53</x:f>
        <x:v>15346832</x:v>
      </x:c>
      <x:c r="Q117" s="3" t="n">
        <x:f>'Расчёт'!$F$33+'Расчёт'!$F$34+'Расчёт'!$F$29+'Расчёт'!$F$30+'Расчёт'!$F$32+K117*('Параметры'!$B$8*'Параметры'!$B$17*'Параметры'!$B$22*'Параметры'!$B$32+'Параметры'!$B$33+'Параметры'!$B$34*'Параметры'!$B$32+'Параметры'!$B$35)+((A117*'Параметры'!$B$8+'Расчёт'!$F$6*('Параметры'!$B$9-'Параметры'!$B$8))*'Параметры'!$B$49-(F117*'Параметры'!$B$8+'Расчёт'!$F$12*('Параметры'!$B$9-'Параметры'!$B$8))*('Параметры'!$B$49-'Параметры'!$B$51)+N117*'Параметры'!$B$8*('Параметры'!$B$50-'Параметры'!$B$49))*'Параметры'!$B$52+(L117*'Параметры'!$B$8+'Расчёт'!$F$20*('Параметры'!$B$9-'Параметры'!$B$8))*'Параметры'!$B$53</x:f>
        <x:v>15525087</x:v>
      </x:c>
      <x:c r="R117" s="3" t="n">
        <x:f>'Расчёт'!$D$28+O117*'Расчёт'!$B$124</x:f>
        <x:v>89876745.11423971</x:v>
      </x:c>
      <x:c r="S117" s="3" t="n">
        <x:f>'Расчёт'!$E$28+P117*'Расчёт'!$B$124</x:f>
        <x:v>52986916.87146801</x:v>
      </x:c>
      <x:c r="T117" s="3" t="n">
        <x:f>'Расчёт'!$F$28+Q117*'Расчёт'!$B$122+(O117+'Расчёт'!$F$32)*'Расчёт'!$B$123</x:f>
        <x:v>59298880.71957187</x:v>
      </x:c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78" hidden="0" customWidth="1"/>
    <x:col min="3" max="3" width="6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21" t="str">
        <x:v>Метод и данные для замены допущений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9" customHeight="1">
      <x:c r="A5" s="26" t="str">
        <x:v>Определение</x:v>
      </x:c>
      <x:c r="B5" s="26" t="str">
        <x:v>Формула / правило</x:v>
      </x:c>
      <x:c r="C5" s="26" t="str">
        <x:v>Что важно при проверке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31" customHeight="1">
      <x:c r="A6" s="20" t="str">
        <x:v>Недельные строки</x:v>
      </x:c>
      <x:c r="B6" s="20" t="str">
        <x:v>Заказы за неделю × строк в заказе</x:v>
      </x:c>
      <x:c r="C6" s="20" t="str">
        <x:v>Если номенклатура меняется по сезону, заменить среднее разрезом по категории.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31" customHeight="1">
      <x:c r="A7" s="20" t="str">
        <x:v>Подходящий поток</x:v>
      </x:c>
      <x:c r="B7" s="20" t="str">
        <x:v>Все строки × (1 − нестандартные) × доля повторяемых</x:v>
      </x:c>
      <x:c r="C7" s="20" t="str">
        <x:v>Нестандартные грузы не входят в роботизированный поток.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31" customHeight="1">
      <x:c r="A8" s="20" t="str">
        <x:v>Снятая ручная работа</x:v>
      </x:c>
      <x:c r="B8" s="20" t="str">
        <x:v>Строки участка × снятая доля × реализуемая доля</x:v>
      </x:c>
      <x:c r="C8" s="20" t="str">
        <x:v>Если людей нельзя перевести в другую зону, эффект становится ниже.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31" customHeight="1">
      <x:c r="A9" s="20" t="str">
        <x:v>Временные работники</x:v>
      </x:c>
      <x:c r="B9" s="20" t="str">
        <x:v>Округлить вверх: дефицит экв. строк / (смены × строки/смену × обучение × закрытие)</x:v>
      </x:c>
      <x:c r="C9" s="20" t="str">
        <x:v>Каждый нанят на полную модельную неделю. Стоимость включает смены, подбор, учебные дни и наставника.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31" customHeight="1">
      <x:c r="A10" s="20" t="str">
        <x:v>Поздние строки</x:v>
      </x:c>
      <x:c r="B10" s="20" t="str">
        <x:v>Макс(0; экв. нагрузка − мощности постоянных − мощности временных)</x:v>
      </x:c>
      <x:c r="C10" s="20" t="str">
        <x:v>Каждая неделя считается отдельно, без моделирования переноса хвоста.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31" customHeight="1">
      <x:c r="A11" s="20" t="str">
        <x:v>Стоимость ошибок</x:v>
      </x:c>
      <x:c r="B11" s="20" t="str">
        <x:v>Строки × частота ошибок × цена исправления</x:v>
      </x:c>
      <x:c r="C11" s="20" t="str">
        <x:v>Особый вклад ошибки на временных и роботизированных строках.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31" customHeight="1">
      <x:c r="A12" s="20" t="str">
        <x:v>Годовой TCO</x:v>
      </x:c>
      <x:c r="B12" s="20" t="str">
        <x:v>Общий ФОТ + действующая аренда + процесс + временные + сервис/площадь + ошибки + просрочка</x:v>
      </x:c>
      <x:c r="C12" s="20" t="str">
        <x:v>CAPEX платится отдельно в году 0; без налогов и амортизации.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31" customHeight="1">
      <x:c r="A13" s="20" t="str">
        <x:v>Приведённая стоимость</x:v>
      </x:c>
      <x:c r="B13" s="20" t="str">
        <x:v>CAPEX год 0 + сумма расходов года t / (1 + r)^t, t = 1…5</x:v>
      </x:c>
      <x:c r="C13" s="20" t="str">
        <x:v>Сравниваются одинаковые реальные рубли 2026 года.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31" customHeight="1">
      <x:c r="A14" s="20" t="str">
        <x:v>Контракт короче 5 лет</x:v>
      </x:c>
      <x:c r="B14" s="20" t="str">
        <x:v>После срока участок отключён; далее действует улучшенный процесс, доп. площадь сохраняется</x:v>
      </x:c>
      <x:c r="C14" s="20" t="str">
        <x:v>Продление, перепродажа и ликвидационные затраты не предполагаются.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31" customHeight="1">
      <x:c r="A15" s="20" t="str">
        <x:v>Первая окупаемость</x:v>
      </x:c>
      <x:c r="B15" s="20" t="str">
        <x:v>Первое пересечение накопленной экономии после доп. CAPEX; линейно внутри года</x:v>
      </x:c>
      <x:c r="C15" s="20" t="str">
        <x:v>Простая окупаемость отличается от окупаемости с учётом капитала.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31" customHeight="1">
      <x:c r="A16" s="20" t="str">
        <x:v>Первая граница по объёму</x:v>
      </x:c>
      <x:c r="B16" s="20" t="str">
        <x:v>Первая смена знака приведённой экономии на сетке 2 500–6 500 с интерполяцией</x:v>
      </x:c>
      <x:c r="C16" s="20" t="str">
        <x:v>Для последующих ступеней найма возможны другие пересечения.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31" customHeight="1">
      <x:c r="A17" s="20"/>
      <x:c r="B17" s="20"/>
      <x:c r="C17" s="20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31" customHeight="1">
      <x:c r="A18" s="20"/>
      <x:c r="B18" s="20"/>
      <x:c r="C18" s="20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31" customHeight="1">
      <x:c r="A19" s="28" t="str">
        <x:v>Вопросы начальнику склада и финансовой службе</x:v>
      </x:c>
      <x:c r="B19" s="28"/>
      <x:c r="C19" s="28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9" customHeight="1">
      <x:c r="A20" s="26" t="str">
        <x:v>Вопрос</x:v>
      </x:c>
      <x:c r="B20" s="26" t="str">
        <x:v>Какие записи запросить</x:v>
      </x:c>
      <x:c r="C20" s="26" t="str">
        <x:v>Изменяемый параметр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31" customHeight="1">
      <x:c r="A21" s="20" t="str">
        <x:v>Как выглядят 52 последовательные недели по заказам и строкам?</x:v>
      </x:c>
      <x:c r="B21" s="20" t="str">
        <x:v>Выгрузка WMS с датой заявки, сборки, отгрузки и категорией</x:v>
      </x:c>
      <x:c r="C21" s="20" t="str">
        <x:v>Пик, заказы/нед., строки/заказ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31" customHeight="1">
      <x:c r="A22" s="20" t="str">
        <x:v>Какая доля заказов требует ручной проверки совместимости, сериальности или особого обращения?</x:v>
      </x:c>
      <x:c r="B22" s="20" t="str">
        <x:v>Отбор по SKU, весу, габариту, партии и типу операции</x:v>
      </x:c>
      <x:c r="C22" s="20" t="str">
        <x:v>Нестандартные, повторяемые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31" customHeight="1">
      <x:c r="A23" s="20" t="str">
        <x:v>Какая фактическая выработка полной смены и разброс по сменам?</x:v>
      </x:c>
      <x:c r="B23" s="20" t="str">
        <x:v>Табели, смены, строка на работника, отмены задания</x:v>
      </x:c>
      <x:c r="C23" s="20" t="str">
        <x:v>Выработка, FTE, прирост процесса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31" customHeight="1">
      <x:c r="A24" s="20" t="str">
        <x:v>Что именно можно убрать до закупки оборудования?</x:v>
      </x:c>
      <x:c r="B24" s="20" t="str">
        <x:v>Схема адресации, пути, повторная сборка, пилот до/после</x:v>
      </x:c>
      <x:c r="C24" s="20" t="str">
        <x:v>CAPEX и OPEX процесса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31" customHeight="1">
      <x:c r="A25" s="20" t="str">
        <x:v>Сколько временных смен запрошено, оплачено и реально закрыто?</x:v>
      </x:c>
      <x:c r="B25" s="20" t="str">
        <x:v>Договор, заявки/отмены, табели, тариф и срок гарантии замены</x:v>
      </x:c>
      <x:c r="C25" s="20" t="str">
        <x:v>Закрытие смен, тариф, подбор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31" customHeight="1">
      <x:c r="A26" s="20" t="str">
        <x:v>Сколько дней проходит до производительного допуска временного сотрудника?</x:v>
      </x:c>
      <x:c r="B26" s="20" t="str">
        <x:v>Учебный журнал, наставники, выработка новичка</x:v>
      </x:c>
      <x:c r="C26" s="20" t="str">
        <x:v>Обучение и продуктивность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31" customHeight="1">
      <x:c r="A27" s="20" t="str">
        <x:v>Как измеряются ошибки и просрочка, без повторного счёта издержек?</x:v>
      </x:c>
      <x:c r="B27" s="20" t="str">
        <x:v>Претензии, досыл, корректировки, штрафы, время исправления</x:v>
      </x:c>
      <x:c r="C27" s="20" t="str">
        <x:v>Частота и цена ошибки/задержки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31" customHeight="1">
      <x:c r="A28" s="20" t="str">
        <x:v>Есть ли 45 м² с проходами, безопасным доступом и электропитанием?</x:v>
      </x:c>
      <x:c r="B28" s="20" t="str">
        <x:v>План склада, свободный пол, договор дополнительной аренды</x:v>
      </x:c>
      <x:c r="C28" s="20" t="str">
        <x:v>Площадь и стоимость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31" customHeight="1">
      <x:c r="A29" s="20" t="str">
        <x:v>Каковы режимы отказа, SLA сервиса и комплект запасных частей?</x:v>
      </x:c>
      <x:c r="B29" s="20" t="str">
        <x:v>КП, матрица отказов, журнал простоев, срок восстановления</x:v>
      </x:c>
      <x:c r="C29" s="20" t="str">
        <x:v>Доступность и обслуживание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31" customHeight="1">
      <x:c r="A30" s="20" t="str">
        <x:v>Когда WMS сможет отдавать задания, отмены, статусы и исключения?</x:v>
      </x:c>
      <x:c r="B30" s="20" t="str">
        <x:v>ТЗ API, план интеграции, тесты и протокол приёмки</x:v>
      </x:c>
      <x:c r="C30" s="20" t="str">
        <x:v>CAPEX WMS и готовность к пику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31" customHeight="1">
      <x:c r="A31" s="20" t="str">
        <x:v>Нужно ли будет содержать участок после первого срока сервиса?</x:v>
      </x:c>
      <x:c r="B31" s="20" t="str">
        <x:v>Договор, индексация, лицензия, выкуп и выход</x:v>
      </x:c>
      <x:c r="C31" s="20" t="str">
        <x:v>Срок договора, поддержка, остаток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31" customHeight="1">
      <x:c r="A32" s="20" t="str">
        <x:v>Какие расходы реально исчезнут, если часть людей высвободится?</x:v>
      </x:c>
      <x:c r="B32" s="20" t="str">
        <x:v>Вакансии, сверхурочные, план штатной загрузки вне сезона</x:v>
      </x:c>
      <x:c r="C32" s="20" t="str">
        <x:v>Реализуемая доля снятой работы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31" customHeight="1">
      <x:c r="A33" s="20"/>
      <x:c r="B33" s="20"/>
      <x:c r="C33" s="20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31" customHeight="1">
      <x:c r="A34" s="20"/>
      <x:c r="B34" s="20"/>
      <x:c r="C34" s="20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31" customHeight="1">
      <x:c r="A35" s="28" t="str">
        <x:v>Ограничения и риск</x:v>
      </x:c>
      <x:c r="B35" s="28"/>
      <x:c r="C35" s="28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9" customHeight="1">
      <x:c r="A36" s="26" t="str">
        <x:v>Риск</x:v>
      </x:c>
      <x:c r="B36" s="26" t="str">
        <x:v>В модели</x:v>
      </x:c>
      <x:c r="C36" s="26" t="str">
        <x:v>Проверка перед выводом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31" customHeight="1">
      <x:c r="A37" s="20" t="str">
        <x:v>Поздняя строка может не иметь денежной цены</x:v>
      </x:c>
      <x:c r="B37" s="20" t="str">
        <x:v>Цена 400 ₽ условна; ноль может изменить сравнение</x:v>
      </x:c>
      <x:c r="C37" s="20" t="str">
        <x:v>Согласовать финансовые потери и SLA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31" customHeight="1">
      <x:c r="A38" s="20" t="str">
        <x:v>Незакрытые временные смены</x:v>
      </x:c>
      <x:c r="B38" s="20" t="str">
        <x:v>Ожидаемое закрытие 90% и отдельный стресс 5 смен</x:v>
      </x:c>
      <x:c r="C38" s="20" t="str">
        <x:v>Смотреть распределение по неделям, не только среднее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31" customHeight="1">
      <x:c r="A39" s="20" t="str">
        <x:v>Минимальный объём заказа временных смен</x:v>
      </x:c>
      <x:c r="B39" s="20" t="str">
        <x:v>Каждый временный работник планируется на пять смен в неделю</x:v>
      </x:c>
      <x:c r="C39" s="20" t="str">
        <x:v>Если доступны отдельные смены, пересчитать расходы и риск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31" customHeight="1">
      <x:c r="A40" s="20" t="str">
        <x:v>Отказ участка в сезон</x:v>
      </x:c>
      <x:c r="B40" s="20" t="str">
        <x:v>Средний простой 6%; отдельно полная неделя без подмены</x:v>
      </x:c>
      <x:c r="C40" s="20" t="str">
        <x:v>План ручного обхода, запчасти, срок реакции</x:v>
      </x:c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31" customHeight="1">
      <x:c r="A41" s="20" t="str">
        <x:v>Несовместимая упаковка и особые грузы</x:v>
      </x:c>
      <x:c r="B41" s="20" t="str">
        <x:v>В участок допускается только подходящая доля стандартных строк</x:v>
      </x:c>
      <x:c r="C41" s="20" t="str">
        <x:v>Опробовать реальные SKU, тару и условия хранения</x:v>
      </x:c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31" customHeight="1">
      <x:c r="A42" s="20" t="str">
        <x:v>Экономия постоянного ФОТ</x:v>
      </x:c>
      <x:c r="B42" s="20" t="str">
        <x:v>0 ₽: весь постоянный состав оплачивается во всех вариантах</x:v>
      </x:c>
      <x:c r="C42" s="20" t="str">
        <x:v>Добавлять только документированное сокращение или замену вакансии</x:v>
      </x:c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31" customHeight="1">
      <x:c r="A43" s="20" t="str">
        <x:v>Изменение состава заказов и ставок за 5 лет</x:v>
      </x:c>
      <x:c r="B43" s="20" t="str">
        <x:v>Повторяется один модельный год в реальных рублях</x:v>
      </x:c>
      <x:c r="C43" s="20" t="str">
        <x:v>Построить отдельный план по годам при наличии прогноза</x:v>
      </x:c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31" customHeight="1">
      <x:c r="A44" s="20" t="str">
        <x:v>Нет продления после договора</x:v>
      </x:c>
      <x:c r="B44" s="20" t="str">
        <x:v>Отказ после окончания гарантированного срока без продажи актива</x:v>
      </x:c>
      <x:c r="C44" s="20" t="str">
        <x:v>Получить цену продления и условия выхода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31" customHeight="1">
      <x:c r="A45" s="20" t="str">
        <x:v>Числа из других отраслей</x:v>
      </x:c>
      <x:c r="B45" s="20" t="str">
        <x:v>Не использованы ФЦ БАС, «Дикси» и городской e-commerce</x:v>
      </x:c>
      <x:c r="C45" s="20" t="str">
        <x:v>Собрать собственные табели, WMS и КП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</x:sheetData>
  <x:pageMargins left="0.7" right="0.7" top="0.75" bottom="0.75" header="0.3" footer="0.3"/>
</x:worksheet>
</file>